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x\Desktop\Bachelorarbeit\"/>
    </mc:Choice>
  </mc:AlternateContent>
  <xr:revisionPtr revIDLastSave="0" documentId="13_ncr:1_{FACC65D8-B1CB-4D82-99A3-A4C096FF28BB}" xr6:coauthVersionLast="36" xr6:coauthVersionMax="36" xr10:uidLastSave="{00000000-0000-0000-0000-000000000000}"/>
  <bookViews>
    <workbookView xWindow="0" yWindow="0" windowWidth="24000" windowHeight="9405" firstSheet="3" activeTab="4" xr2:uid="{00000000-000D-0000-FFFF-FFFF00000000}"/>
  </bookViews>
  <sheets>
    <sheet name="Harvester" sheetId="4" r:id="rId1"/>
    <sheet name="Forwarder" sheetId="3" r:id="rId2"/>
    <sheet name="Skidder m. Kran" sheetId="1" r:id="rId3"/>
    <sheet name="Forstschl. ohne Kran" sheetId="2" r:id="rId4"/>
    <sheet name="Forstraupe" sheetId="7" r:id="rId5"/>
    <sheet name="Tabelle1" sheetId="8" r:id="rId6"/>
    <sheet name="Seilkran" sheetId="5" r:id="rId7"/>
    <sheet name="Gebirgsharvester" sheetId="6" r:id="rId8"/>
  </sheets>
  <calcPr calcId="191029"/>
</workbook>
</file>

<file path=xl/calcChain.xml><?xml version="1.0" encoding="utf-8"?>
<calcChain xmlns="http://schemas.openxmlformats.org/spreadsheetml/2006/main">
  <c r="C21" i="7" l="1"/>
  <c r="C18" i="7"/>
  <c r="C33" i="7"/>
  <c r="E34" i="7"/>
  <c r="E16" i="8" l="1"/>
  <c r="E8" i="8"/>
  <c r="E4" i="8"/>
  <c r="C38" i="7" l="1"/>
  <c r="C36" i="7"/>
  <c r="E35" i="7"/>
  <c r="E33" i="7"/>
  <c r="C30" i="7"/>
  <c r="C29" i="7"/>
  <c r="C27" i="7"/>
  <c r="C25" i="7" s="1"/>
  <c r="E25" i="7" s="1"/>
  <c r="C22" i="7"/>
  <c r="E20" i="7"/>
  <c r="E19" i="7"/>
  <c r="E8" i="7"/>
  <c r="E4" i="7"/>
  <c r="E17" i="7" s="1"/>
  <c r="E18" i="7" l="1"/>
  <c r="E16" i="7" s="1"/>
  <c r="E39" i="7" s="1"/>
  <c r="C23" i="7"/>
  <c r="E21" i="7" s="1"/>
  <c r="C33" i="5"/>
  <c r="C30" i="5"/>
  <c r="C22" i="5"/>
  <c r="C38" i="6" l="1"/>
  <c r="E35" i="6" s="1"/>
  <c r="C36" i="6"/>
  <c r="C36" i="5"/>
  <c r="E19" i="4" l="1"/>
  <c r="E34" i="6" l="1"/>
  <c r="C33" i="6"/>
  <c r="E33" i="6" s="1"/>
  <c r="C30" i="6"/>
  <c r="C29" i="6"/>
  <c r="C27" i="6"/>
  <c r="C25" i="6"/>
  <c r="E25" i="6" s="1"/>
  <c r="C22" i="6"/>
  <c r="E20" i="6"/>
  <c r="E19" i="6"/>
  <c r="C18" i="6"/>
  <c r="E18" i="6" s="1"/>
  <c r="E9" i="6"/>
  <c r="E8" i="6"/>
  <c r="E4" i="6"/>
  <c r="C38" i="5"/>
  <c r="E35" i="5" s="1"/>
  <c r="E33" i="5"/>
  <c r="C29" i="5"/>
  <c r="C27" i="5"/>
  <c r="E20" i="5"/>
  <c r="E19" i="5"/>
  <c r="E9" i="5"/>
  <c r="E8" i="5"/>
  <c r="E4" i="5"/>
  <c r="C18" i="5" s="1"/>
  <c r="E18" i="5" s="1"/>
  <c r="E17" i="6" l="1"/>
  <c r="C23" i="6"/>
  <c r="C21" i="6" s="1"/>
  <c r="E21" i="6" s="1"/>
  <c r="E16" i="6" s="1"/>
  <c r="E39" i="6" s="1"/>
  <c r="C25" i="5"/>
  <c r="E25" i="5" s="1"/>
  <c r="E34" i="5"/>
  <c r="C23" i="5"/>
  <c r="C21" i="5"/>
  <c r="E21" i="5" s="1"/>
  <c r="E17" i="5"/>
  <c r="E20" i="4"/>
  <c r="E16" i="5" l="1"/>
  <c r="E39" i="5" s="1"/>
  <c r="C38" i="3"/>
  <c r="C36" i="3"/>
  <c r="E35" i="3" s="1"/>
  <c r="C33" i="3"/>
  <c r="E33" i="3" s="1"/>
  <c r="C30" i="3"/>
  <c r="C29" i="3"/>
  <c r="C27" i="3"/>
  <c r="C25" i="3" s="1"/>
  <c r="E25" i="3" s="1"/>
  <c r="C22" i="3"/>
  <c r="E20" i="3"/>
  <c r="E19" i="3"/>
  <c r="E9" i="3"/>
  <c r="E8" i="3"/>
  <c r="E7" i="3"/>
  <c r="E4" i="3"/>
  <c r="C18" i="3" s="1"/>
  <c r="E18" i="3" s="1"/>
  <c r="E34" i="3" l="1"/>
  <c r="C23" i="3"/>
  <c r="C21" i="3" s="1"/>
  <c r="E21" i="3" s="1"/>
  <c r="E17" i="3"/>
  <c r="C38" i="1"/>
  <c r="C36" i="1"/>
  <c r="E35" i="1"/>
  <c r="E34" i="1" s="1"/>
  <c r="C33" i="1"/>
  <c r="E33" i="1" s="1"/>
  <c r="C30" i="1"/>
  <c r="C29" i="1"/>
  <c r="C25" i="1" s="1"/>
  <c r="E25" i="1" s="1"/>
  <c r="C27" i="1"/>
  <c r="C23" i="1"/>
  <c r="C21" i="1" s="1"/>
  <c r="E21" i="1" s="1"/>
  <c r="C22" i="1"/>
  <c r="E20" i="1"/>
  <c r="E19" i="1"/>
  <c r="E9" i="1"/>
  <c r="E8" i="1"/>
  <c r="E4" i="1"/>
  <c r="C18" i="1" s="1"/>
  <c r="E18" i="1" s="1"/>
  <c r="C38" i="2"/>
  <c r="C36" i="2"/>
  <c r="E35" i="2" s="1"/>
  <c r="E34" i="2" s="1"/>
  <c r="C33" i="2"/>
  <c r="E33" i="2" s="1"/>
  <c r="C30" i="2"/>
  <c r="C29" i="2"/>
  <c r="C27" i="2"/>
  <c r="C25" i="2"/>
  <c r="E25" i="2" s="1"/>
  <c r="C22" i="2"/>
  <c r="E20" i="2"/>
  <c r="E19" i="2"/>
  <c r="E8" i="2"/>
  <c r="E4" i="2"/>
  <c r="C38" i="4"/>
  <c r="C36" i="4"/>
  <c r="E35" i="4"/>
  <c r="E34" i="4" s="1"/>
  <c r="C33" i="4"/>
  <c r="E33" i="4" s="1"/>
  <c r="C30" i="4"/>
  <c r="C29" i="4"/>
  <c r="C27" i="4"/>
  <c r="C22" i="4"/>
  <c r="E9" i="4"/>
  <c r="E8" i="4"/>
  <c r="E4" i="4"/>
  <c r="C23" i="4" l="1"/>
  <c r="C25" i="4"/>
  <c r="E25" i="4" s="1"/>
  <c r="E17" i="2"/>
  <c r="C18" i="4"/>
  <c r="E18" i="4" s="1"/>
  <c r="E17" i="4"/>
  <c r="C21" i="4"/>
  <c r="E21" i="4" s="1"/>
  <c r="E16" i="3"/>
  <c r="E39" i="3" s="1"/>
  <c r="E17" i="1"/>
  <c r="E16" i="1" s="1"/>
  <c r="E39" i="1" s="1"/>
  <c r="C18" i="2"/>
  <c r="E18" i="2" s="1"/>
  <c r="C23" i="2"/>
  <c r="C21" i="2" s="1"/>
  <c r="E21" i="2" s="1"/>
  <c r="E16" i="2" l="1"/>
  <c r="E39" i="2" s="1"/>
  <c r="E16" i="4"/>
  <c r="E39" i="4" s="1"/>
</calcChain>
</file>

<file path=xl/sharedStrings.xml><?xml version="1.0" encoding="utf-8"?>
<sst xmlns="http://schemas.openxmlformats.org/spreadsheetml/2006/main" count="629" uniqueCount="86">
  <si>
    <t>A Eingangsdaten</t>
  </si>
  <si>
    <t>Anschaffungspreis der kompletten Maschine inkl. Montage und Überführungskosten, Zubehör, Rabatte, Skonto ohne Mehrwertsteuer</t>
  </si>
  <si>
    <t>An</t>
  </si>
  <si>
    <t>€</t>
  </si>
  <si>
    <t>Restwert</t>
  </si>
  <si>
    <t>R</t>
  </si>
  <si>
    <t>Veralterungszeit in Jahren (max.Nutzungsdauer)</t>
  </si>
  <si>
    <t>N</t>
  </si>
  <si>
    <t>Jahre</t>
  </si>
  <si>
    <t>Technische Gesamtnutzungsdauer in MAS</t>
  </si>
  <si>
    <t>H</t>
  </si>
  <si>
    <t>MAS</t>
  </si>
  <si>
    <t>Abschreibungsdauer in Jahren</t>
  </si>
  <si>
    <t>Aj</t>
  </si>
  <si>
    <t>Abschreibungsdauer in MAS</t>
  </si>
  <si>
    <t>Amas</t>
  </si>
  <si>
    <t xml:space="preserve">Auslastungsschwelle H:N </t>
  </si>
  <si>
    <t>Sw</t>
  </si>
  <si>
    <t>MAS/Jahr</t>
  </si>
  <si>
    <t>Voraussichtliche jährliche Auslastung (MAS/Jahr)</t>
  </si>
  <si>
    <t>a</t>
  </si>
  <si>
    <t>Kraftstoffverbrauch in l/MAS</t>
  </si>
  <si>
    <t>Kv</t>
  </si>
  <si>
    <t>Liter/MAS</t>
  </si>
  <si>
    <t>Kraftstoffkosten inkl. Transport u. Lagerung</t>
  </si>
  <si>
    <t>Kk</t>
  </si>
  <si>
    <t>€/Liter</t>
  </si>
  <si>
    <t>Faktor für Reparatur und Wartung</t>
  </si>
  <si>
    <t>r</t>
  </si>
  <si>
    <t>Faktor für Schmierstoffkosten</t>
  </si>
  <si>
    <t>sm</t>
  </si>
  <si>
    <t>Zinsfuß in %</t>
  </si>
  <si>
    <t>i</t>
  </si>
  <si>
    <t>%</t>
  </si>
  <si>
    <t>B Sachkosten</t>
  </si>
  <si>
    <t>€/Jahr</t>
  </si>
  <si>
    <t>Summe</t>
  </si>
  <si>
    <t>€/MAS</t>
  </si>
  <si>
    <r>
      <t>Abschreibung A</t>
    </r>
    <r>
      <rPr>
        <sz val="10"/>
        <rFont val="Arial"/>
        <family val="2"/>
      </rPr>
      <t xml:space="preserve">
wenn a größer oder gleich Sw, dann (An-R):Amas 
wenn a kleiner als Sw dann (An-R) : (Aj x a)  </t>
    </r>
  </si>
  <si>
    <r>
      <t>Finanzierungsk./Jahr</t>
    </r>
    <r>
      <rPr>
        <sz val="10"/>
        <rFont val="Arial"/>
        <family val="2"/>
      </rPr>
      <t xml:space="preserve"> ((An+R) : 2) x i % :100 </t>
    </r>
  </si>
  <si>
    <t>∑</t>
  </si>
  <si>
    <r>
      <t>Instandhaltungskosten (RW)
(</t>
    </r>
    <r>
      <rPr>
        <sz val="10"/>
        <rFont val="Arial"/>
        <family val="2"/>
      </rPr>
      <t>An : H) x r</t>
    </r>
  </si>
  <si>
    <r>
      <t>Betriebsstoffkosten (B)</t>
    </r>
    <r>
      <rPr>
        <sz val="10"/>
        <rFont val="Arial"/>
        <family val="2"/>
      </rPr>
      <t xml:space="preserve">
Kv x Kk x (1 + sm)</t>
    </r>
  </si>
  <si>
    <t>Umsetzen, An- und Abfahrt/Jahr</t>
  </si>
  <si>
    <t xml:space="preserve"> - Sachkosten (Maschinenkosten, Tieflader, PKW-Kilometer): 2 €/MAS</t>
  </si>
  <si>
    <t xml:space="preserve"> - Lohnkosten (Fahrerlohn, Auslösung):                                Lohnkosten € x 0,15</t>
  </si>
  <si>
    <t>Sonstige Kosten/Jahr (S)</t>
  </si>
  <si>
    <t xml:space="preserve">     differenzierte Vorkalkulation</t>
  </si>
  <si>
    <t xml:space="preserve"> - Haftpflichtversicherung </t>
  </si>
  <si>
    <t xml:space="preserve"> - Techn. Maschinen-Versicherung 1,4 % von An</t>
  </si>
  <si>
    <t xml:space="preserve"> - Unterbringung</t>
  </si>
  <si>
    <t xml:space="preserve"> - Unternehmensbezogene Kosten 5,0 % von An</t>
  </si>
  <si>
    <t xml:space="preserve"> - Organisation (Einsatzlenkung) 3,0 % von An</t>
  </si>
  <si>
    <t xml:space="preserve"> - Finanzierung der Forderungen (4-6 Wochen)</t>
  </si>
  <si>
    <t xml:space="preserve">     Alternativ: pauschalierte Vorkalkulation</t>
  </si>
  <si>
    <t>10 % von An</t>
  </si>
  <si>
    <t>C Lohnkosten</t>
  </si>
  <si>
    <t xml:space="preserve">Lohnkosten einschließlich Lohnnebenkosten (hier 100 %) </t>
  </si>
  <si>
    <t xml:space="preserve"> - Fahrer 1: 15,50 €/Std. x 2,0 =</t>
  </si>
  <si>
    <t xml:space="preserve"> - Schichtfaktor</t>
  </si>
  <si>
    <t xml:space="preserve"> - Fahrer 2: 15,50 €/Std. x 2,0 x (Schichtf. - 1) =</t>
  </si>
  <si>
    <t>Gesamtkosten ohne Mehrwertsteuer</t>
  </si>
  <si>
    <t>Veralterungszeit in Jahren (max. Nutzungsdauer)</t>
  </si>
  <si>
    <t xml:space="preserve"> - Sachkosten (Maschinenkosten, Tieflader, PKW-Kilometer): 0,50 €/MAS</t>
  </si>
  <si>
    <t xml:space="preserve"> - Lohnkosten (Fahrerlohn, Auslösung):                                Lohnkosten € x 0,10</t>
  </si>
  <si>
    <t xml:space="preserve"> - Organisation (Einsatzlenkung) 1,0 % von An</t>
  </si>
  <si>
    <t>9 % von An</t>
  </si>
  <si>
    <t xml:space="preserve"> - Sachkosten (Maschinenkosten, Tieflader, PKW-Kilometer): 2,00 €/MAS</t>
  </si>
  <si>
    <t xml:space="preserve"> - Unternehmensbezogene Kosten 5 % von An</t>
  </si>
  <si>
    <t xml:space="preserve"> - Organisation (Einsatzlenkung) 1,5 % von An</t>
  </si>
  <si>
    <t>HARVESTER</t>
  </si>
  <si>
    <t>FORWARDER</t>
  </si>
  <si>
    <t>SKIDDER MIT KRAN</t>
  </si>
  <si>
    <t>FORSTSCHLEPPER OHNE KRAN</t>
  </si>
  <si>
    <t>SEILKRANANLAGE INKL. AUF-/Abbau</t>
  </si>
  <si>
    <t>GEBIRGSHARVESTER</t>
  </si>
  <si>
    <t xml:space="preserve"> - Fahrer 1+2: 2 x 15,50 €/Std. x 2,0 =</t>
  </si>
  <si>
    <t xml:space="preserve"> - Fahrer 3: 15,50 €/Std. x 2,0 x (Schichtf. - 1) =</t>
  </si>
  <si>
    <t xml:space="preserve"> - Sachkosten (Maschinenkosten, Tieflader, PKW-Kilometer): 1 €/MAS</t>
  </si>
  <si>
    <t>FORSTRAUPE</t>
  </si>
  <si>
    <t>Spalte1</t>
  </si>
  <si>
    <t>Spalte2</t>
  </si>
  <si>
    <t>Spalte3</t>
  </si>
  <si>
    <t>Spalte4</t>
  </si>
  <si>
    <t>Spalte5</t>
  </si>
  <si>
    <t>Spalte6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</si>
</sst>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;[Red]#,##0.00\ _€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164" fontId="2" fillId="3" borderId="0" xfId="0" applyNumberFormat="1" applyFont="1" applyFill="1" applyAlignment="1">
      <alignment wrapText="1"/>
    </xf>
    <xf numFmtId="4" fontId="2" fillId="3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wrapText="1"/>
    </xf>
    <xf numFmtId="4" fontId="2" fillId="0" borderId="0" xfId="0" applyNumberFormat="1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164" fontId="1" fillId="2" borderId="0" xfId="0" applyNumberFormat="1" applyFont="1" applyFill="1" applyAlignment="1">
      <alignment horizontal="right" wrapText="1"/>
    </xf>
    <xf numFmtId="4" fontId="3" fillId="2" borderId="0" xfId="0" applyNumberFormat="1" applyFont="1" applyFill="1" applyAlignment="1">
      <alignment wrapText="1"/>
    </xf>
    <xf numFmtId="4" fontId="1" fillId="3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4" fontId="2" fillId="0" borderId="0" xfId="0" applyNumberFormat="1" applyFont="1" applyAlignment="1">
      <alignment wrapText="1"/>
    </xf>
    <xf numFmtId="165" fontId="2" fillId="0" borderId="0" xfId="0" applyNumberFormat="1" applyFont="1" applyFill="1" applyAlignment="1">
      <alignment wrapText="1"/>
    </xf>
    <xf numFmtId="0" fontId="2" fillId="4" borderId="0" xfId="0" applyFont="1" applyFill="1" applyAlignment="1">
      <alignment horizontal="center" wrapText="1"/>
    </xf>
    <xf numFmtId="164" fontId="2" fillId="4" borderId="0" xfId="0" applyNumberFormat="1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1" fillId="3" borderId="0" xfId="0" applyFont="1" applyFill="1" applyAlignment="1">
      <alignment wrapText="1"/>
    </xf>
    <xf numFmtId="4" fontId="3" fillId="3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3" borderId="0" xfId="0" applyFont="1" applyFill="1" applyAlignment="1">
      <alignment horizontal="center" wrapText="1"/>
    </xf>
    <xf numFmtId="164" fontId="3" fillId="3" borderId="0" xfId="0" applyNumberFormat="1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164" fontId="1" fillId="4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5" fillId="5" borderId="0" xfId="0" applyFont="1" applyFill="1"/>
    <xf numFmtId="0" fontId="0" fillId="5" borderId="0" xfId="0" applyFill="1"/>
    <xf numFmtId="0" fontId="2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0" fontId="5" fillId="5" borderId="0" xfId="0" applyFont="1" applyFill="1" applyBorder="1"/>
    <xf numFmtId="0" fontId="0" fillId="0" borderId="0" xfId="0" applyBorder="1"/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wrapText="1"/>
    </xf>
    <xf numFmtId="164" fontId="1" fillId="3" borderId="0" xfId="0" applyNumberFormat="1" applyFont="1" applyFill="1" applyBorder="1" applyAlignment="1">
      <alignment wrapText="1"/>
    </xf>
    <xf numFmtId="4" fontId="2" fillId="3" borderId="0" xfId="0" applyNumberFormat="1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164" fontId="1" fillId="3" borderId="0" xfId="0" applyNumberFormat="1" applyFont="1" applyFill="1" applyBorder="1" applyAlignment="1">
      <alignment horizontal="center" wrapText="1"/>
    </xf>
    <xf numFmtId="4" fontId="3" fillId="3" borderId="0" xfId="0" applyNumberFormat="1" applyFont="1" applyFill="1" applyBorder="1" applyAlignment="1">
      <alignment wrapText="1"/>
    </xf>
    <xf numFmtId="4" fontId="1" fillId="3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164" fontId="3" fillId="3" borderId="0" xfId="0" applyNumberFormat="1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 wrapText="1"/>
    </xf>
    <xf numFmtId="164" fontId="1" fillId="4" borderId="0" xfId="0" applyNumberFormat="1" applyFont="1" applyFill="1" applyBorder="1" applyAlignment="1">
      <alignment wrapText="1"/>
    </xf>
    <xf numFmtId="4" fontId="3" fillId="2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0" fillId="5" borderId="0" xfId="0" applyFill="1" applyBorder="1"/>
  </cellXfs>
  <cellStyles count="2">
    <cellStyle name="Standard" xfId="0" builtinId="0"/>
    <cellStyle name="Standard 2" xfId="1" xr:uid="{00000000-0005-0000-0000-000001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,##0.00\ _€;[Red]#,##0.00\ _€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FB10A4-F21F-4B57-85BD-8B7BAA2D46C6}" name="Tabelle1" displayName="Tabelle1" ref="A1:F16" totalsRowShown="0">
  <autoFilter ref="A1:F16" xr:uid="{F2A50A15-4A90-40DC-94E7-5FD021E9CEFB}"/>
  <tableColumns count="6">
    <tableColumn id="1" xr3:uid="{CCDF4634-9A98-4745-91E2-6629DF2F98C6}" name="Spalte1" dataDxfId="5"/>
    <tableColumn id="2" xr3:uid="{894B7B5D-3E31-4D00-9850-365B709A337D}" name="Spalte2" dataDxfId="4"/>
    <tableColumn id="3" xr3:uid="{FB6B3B58-888D-4B31-812C-A6C08B5658F8}" name="Spalte3" dataDxfId="3"/>
    <tableColumn id="4" xr3:uid="{EB3B4E9C-4E71-4A2C-9E39-E3035EDDFA51}" name="Spalte4" dataDxfId="2"/>
    <tableColumn id="5" xr3:uid="{97E82F68-61B2-4B42-9FC4-D1F90B56C4FC}" name="Spalte5" dataDxfId="1"/>
    <tableColumn id="6" xr3:uid="{A3471B0E-7CF0-45EB-8423-8B3F6E524E38}" name="Spalte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opLeftCell="A7" workbookViewId="0">
      <selection activeCell="C22" sqref="C22"/>
    </sheetView>
  </sheetViews>
  <sheetFormatPr baseColWidth="10" defaultRowHeight="15" x14ac:dyDescent="0.25"/>
  <cols>
    <col min="1" max="1" width="51.5703125" customWidth="1"/>
    <col min="2" max="2" width="5.85546875" bestFit="1" customWidth="1"/>
    <col min="3" max="3" width="10.28515625" bestFit="1" customWidth="1"/>
    <col min="4" max="4" width="8.42578125" bestFit="1" customWidth="1"/>
    <col min="5" max="5" width="7.5703125" bestFit="1" customWidth="1"/>
    <col min="6" max="6" width="9.28515625" bestFit="1" customWidth="1"/>
  </cols>
  <sheetData>
    <row r="1" spans="1:6" ht="26.25" x14ac:dyDescent="0.4">
      <c r="A1" s="38" t="s">
        <v>70</v>
      </c>
      <c r="B1" s="39"/>
      <c r="C1" s="39"/>
      <c r="D1" s="39"/>
      <c r="E1" s="39"/>
      <c r="F1" s="39"/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39" x14ac:dyDescent="0.25">
      <c r="A3" s="6" t="s">
        <v>1</v>
      </c>
      <c r="B3" s="7" t="s">
        <v>2</v>
      </c>
      <c r="C3" s="8"/>
      <c r="D3" s="6"/>
      <c r="E3" s="9">
        <v>450000</v>
      </c>
      <c r="F3" s="6" t="s">
        <v>3</v>
      </c>
    </row>
    <row r="4" spans="1:6" x14ac:dyDescent="0.25">
      <c r="A4" s="6" t="s">
        <v>4</v>
      </c>
      <c r="B4" s="7" t="s">
        <v>5</v>
      </c>
      <c r="C4" s="8"/>
      <c r="D4" s="6"/>
      <c r="E4" s="9">
        <f>(1-E7/E5)*E3</f>
        <v>112500</v>
      </c>
      <c r="F4" s="6" t="s">
        <v>3</v>
      </c>
    </row>
    <row r="5" spans="1:6" x14ac:dyDescent="0.25">
      <c r="A5" s="6" t="s">
        <v>6</v>
      </c>
      <c r="B5" s="7" t="s">
        <v>7</v>
      </c>
      <c r="C5" s="8"/>
      <c r="D5" s="6"/>
      <c r="E5" s="9">
        <v>8</v>
      </c>
      <c r="F5" s="6" t="s">
        <v>8</v>
      </c>
    </row>
    <row r="6" spans="1:6" x14ac:dyDescent="0.25">
      <c r="A6" s="6" t="s">
        <v>9</v>
      </c>
      <c r="B6" s="7" t="s">
        <v>10</v>
      </c>
      <c r="C6" s="8"/>
      <c r="D6" s="6"/>
      <c r="E6" s="9">
        <v>14000</v>
      </c>
      <c r="F6" s="6" t="s">
        <v>11</v>
      </c>
    </row>
    <row r="7" spans="1:6" x14ac:dyDescent="0.25">
      <c r="A7" s="6" t="s">
        <v>12</v>
      </c>
      <c r="B7" s="7" t="s">
        <v>13</v>
      </c>
      <c r="C7" s="8"/>
      <c r="D7" s="6"/>
      <c r="E7" s="9">
        <v>6</v>
      </c>
      <c r="F7" s="6" t="s">
        <v>8</v>
      </c>
    </row>
    <row r="8" spans="1:6" x14ac:dyDescent="0.25">
      <c r="A8" s="6" t="s">
        <v>14</v>
      </c>
      <c r="B8" s="7" t="s">
        <v>15</v>
      </c>
      <c r="C8" s="8"/>
      <c r="D8" s="6"/>
      <c r="E8" s="9">
        <f>E6-E6*(1-E7/E5)</f>
        <v>10500</v>
      </c>
      <c r="F8" s="6" t="s">
        <v>11</v>
      </c>
    </row>
    <row r="9" spans="1:6" x14ac:dyDescent="0.25">
      <c r="A9" s="6" t="s">
        <v>16</v>
      </c>
      <c r="B9" s="7" t="s">
        <v>17</v>
      </c>
      <c r="C9" s="8"/>
      <c r="D9" s="6"/>
      <c r="E9" s="9">
        <f>E6/E5</f>
        <v>1750</v>
      </c>
      <c r="F9" s="6" t="s">
        <v>18</v>
      </c>
    </row>
    <row r="10" spans="1:6" x14ac:dyDescent="0.25">
      <c r="A10" s="6" t="s">
        <v>19</v>
      </c>
      <c r="B10" s="7" t="s">
        <v>20</v>
      </c>
      <c r="C10" s="8"/>
      <c r="D10" s="6"/>
      <c r="E10" s="9">
        <v>1500</v>
      </c>
      <c r="F10" s="6" t="s">
        <v>18</v>
      </c>
    </row>
    <row r="11" spans="1:6" x14ac:dyDescent="0.25">
      <c r="A11" s="6" t="s">
        <v>21</v>
      </c>
      <c r="B11" s="7" t="s">
        <v>22</v>
      </c>
      <c r="C11" s="8"/>
      <c r="D11" s="6"/>
      <c r="E11" s="10">
        <v>16</v>
      </c>
      <c r="F11" s="6" t="s">
        <v>23</v>
      </c>
    </row>
    <row r="12" spans="1:6" x14ac:dyDescent="0.25">
      <c r="A12" s="6" t="s">
        <v>24</v>
      </c>
      <c r="B12" s="7" t="s">
        <v>25</v>
      </c>
      <c r="C12" s="8"/>
      <c r="D12" s="6"/>
      <c r="E12" s="10">
        <v>1.6</v>
      </c>
      <c r="F12" s="6" t="s">
        <v>26</v>
      </c>
    </row>
    <row r="13" spans="1:6" x14ac:dyDescent="0.25">
      <c r="A13" s="6" t="s">
        <v>27</v>
      </c>
      <c r="B13" s="7" t="s">
        <v>28</v>
      </c>
      <c r="C13" s="8"/>
      <c r="D13" s="6"/>
      <c r="E13" s="10">
        <v>1.1000000000000001</v>
      </c>
      <c r="F13" s="6"/>
    </row>
    <row r="14" spans="1:6" x14ac:dyDescent="0.25">
      <c r="A14" s="6" t="s">
        <v>29</v>
      </c>
      <c r="B14" s="7" t="s">
        <v>30</v>
      </c>
      <c r="C14" s="8"/>
      <c r="D14" s="6"/>
      <c r="E14" s="10">
        <v>0.25</v>
      </c>
      <c r="F14" s="6"/>
    </row>
    <row r="15" spans="1:6" x14ac:dyDescent="0.25">
      <c r="A15" s="6" t="s">
        <v>31</v>
      </c>
      <c r="B15" s="7" t="s">
        <v>32</v>
      </c>
      <c r="C15" s="8"/>
      <c r="D15" s="6"/>
      <c r="E15" s="10">
        <v>8</v>
      </c>
      <c r="F15" s="6" t="s">
        <v>33</v>
      </c>
    </row>
    <row r="16" spans="1:6" x14ac:dyDescent="0.25">
      <c r="A16" s="11" t="s">
        <v>34</v>
      </c>
      <c r="B16" s="12"/>
      <c r="C16" s="13" t="s">
        <v>35</v>
      </c>
      <c r="D16" s="14" t="s">
        <v>36</v>
      </c>
      <c r="E16" s="15">
        <f>ROUND(SUM(E17:E25),2)</f>
        <v>157.04</v>
      </c>
      <c r="F16" s="16" t="s">
        <v>37</v>
      </c>
    </row>
    <row r="17" spans="1:6" ht="39" x14ac:dyDescent="0.25">
      <c r="A17" s="17" t="s">
        <v>38</v>
      </c>
      <c r="B17" s="7"/>
      <c r="C17" s="8"/>
      <c r="D17" s="6"/>
      <c r="E17" s="10">
        <f>ROUND(IF(E6/E5&lt;E10,(E3-E4)/E8,(E3-E4)/(E7*E10)),2)</f>
        <v>37.5</v>
      </c>
      <c r="F17" s="20" t="s">
        <v>37</v>
      </c>
    </row>
    <row r="18" spans="1:6" x14ac:dyDescent="0.25">
      <c r="A18" s="17" t="s">
        <v>39</v>
      </c>
      <c r="B18" s="7" t="s">
        <v>40</v>
      </c>
      <c r="C18" s="8">
        <f>((E3+E4)/2)*E15/100</f>
        <v>22500</v>
      </c>
      <c r="D18" s="6"/>
      <c r="E18" s="10">
        <f>ROUND(C18/E10,2)</f>
        <v>15</v>
      </c>
      <c r="F18" s="20" t="s">
        <v>37</v>
      </c>
    </row>
    <row r="19" spans="1:6" ht="26.25" x14ac:dyDescent="0.25">
      <c r="A19" s="17" t="s">
        <v>41</v>
      </c>
      <c r="B19" s="7"/>
      <c r="C19" s="8"/>
      <c r="D19" s="6"/>
      <c r="E19" s="10">
        <f>ROUND(E13*E3/E6,2)</f>
        <v>35.36</v>
      </c>
      <c r="F19" s="20" t="s">
        <v>37</v>
      </c>
    </row>
    <row r="20" spans="1:6" ht="26.25" x14ac:dyDescent="0.25">
      <c r="A20" s="17" t="s">
        <v>42</v>
      </c>
      <c r="B20" s="7"/>
      <c r="C20" s="8"/>
      <c r="D20" s="6"/>
      <c r="E20" s="10">
        <f>ROUND(E11*E12*(1+E14),2)</f>
        <v>32</v>
      </c>
      <c r="F20" s="20" t="s">
        <v>37</v>
      </c>
    </row>
    <row r="21" spans="1:6" x14ac:dyDescent="0.25">
      <c r="A21" s="17" t="s">
        <v>43</v>
      </c>
      <c r="B21" s="7" t="s">
        <v>40</v>
      </c>
      <c r="C21" s="8">
        <f>C22+C23</f>
        <v>9975</v>
      </c>
      <c r="D21" s="6"/>
      <c r="E21" s="10">
        <f>ROUND(C21/E10,2)</f>
        <v>6.65</v>
      </c>
      <c r="F21" s="20" t="s">
        <v>37</v>
      </c>
    </row>
    <row r="22" spans="1:6" ht="26.25" x14ac:dyDescent="0.25">
      <c r="A22" s="6" t="s">
        <v>44</v>
      </c>
      <c r="B22" s="7"/>
      <c r="C22" s="8">
        <f>ROUND(2*E10,2)</f>
        <v>3000</v>
      </c>
      <c r="D22" s="6"/>
      <c r="E22" s="10"/>
      <c r="F22" s="20"/>
    </row>
    <row r="23" spans="1:6" ht="26.25" x14ac:dyDescent="0.25">
      <c r="A23" s="6" t="s">
        <v>45</v>
      </c>
      <c r="B23" s="7"/>
      <c r="C23" s="8">
        <f>ROUND(E35*0.15*E10,2)</f>
        <v>6975</v>
      </c>
      <c r="D23" s="6"/>
      <c r="E23" s="10"/>
      <c r="F23" s="20"/>
    </row>
    <row r="24" spans="1:6" x14ac:dyDescent="0.25">
      <c r="A24" s="17" t="s">
        <v>46</v>
      </c>
      <c r="B24" s="7"/>
      <c r="C24" s="8"/>
      <c r="D24" s="6"/>
      <c r="E24" s="10"/>
      <c r="F24" s="20"/>
    </row>
    <row r="25" spans="1:6" x14ac:dyDescent="0.25">
      <c r="A25" s="19" t="s">
        <v>47</v>
      </c>
      <c r="B25" s="7" t="s">
        <v>40</v>
      </c>
      <c r="C25" s="8">
        <f>SUM(C26:C31)</f>
        <v>45800</v>
      </c>
      <c r="D25" s="6"/>
      <c r="E25" s="10">
        <f>ROUND(C25/E10,2)</f>
        <v>30.53</v>
      </c>
      <c r="F25" s="20" t="s">
        <v>37</v>
      </c>
    </row>
    <row r="26" spans="1:6" x14ac:dyDescent="0.25">
      <c r="A26" s="6" t="s">
        <v>48</v>
      </c>
      <c r="B26" s="7"/>
      <c r="C26" s="8">
        <v>700</v>
      </c>
      <c r="D26" s="6"/>
      <c r="E26" s="10"/>
      <c r="F26" s="20"/>
    </row>
    <row r="27" spans="1:6" x14ac:dyDescent="0.25">
      <c r="A27" s="6" t="s">
        <v>49</v>
      </c>
      <c r="B27" s="7"/>
      <c r="C27" s="8">
        <f>ROUND(E3*1.4/100,2)</f>
        <v>6300</v>
      </c>
      <c r="D27" s="6"/>
      <c r="E27" s="6"/>
      <c r="F27" s="20"/>
    </row>
    <row r="28" spans="1:6" x14ac:dyDescent="0.25">
      <c r="A28" s="6" t="s">
        <v>50</v>
      </c>
      <c r="B28" s="7"/>
      <c r="C28" s="8">
        <v>800</v>
      </c>
      <c r="D28" s="6"/>
      <c r="E28" s="10"/>
      <c r="F28" s="20"/>
    </row>
    <row r="29" spans="1:6" x14ac:dyDescent="0.25">
      <c r="A29" s="6" t="s">
        <v>51</v>
      </c>
      <c r="B29" s="7"/>
      <c r="C29" s="8">
        <f>ROUND(E3*5/100,2)</f>
        <v>22500</v>
      </c>
      <c r="D29" s="6"/>
      <c r="E29" s="10"/>
      <c r="F29" s="20"/>
    </row>
    <row r="30" spans="1:6" x14ac:dyDescent="0.25">
      <c r="A30" s="6" t="s">
        <v>52</v>
      </c>
      <c r="B30" s="7"/>
      <c r="C30" s="8">
        <f>ROUND(E3*3/100,2)</f>
        <v>13500</v>
      </c>
      <c r="D30" s="6"/>
      <c r="E30" s="10"/>
      <c r="F30" s="20"/>
    </row>
    <row r="31" spans="1:6" x14ac:dyDescent="0.25">
      <c r="A31" s="6" t="s">
        <v>53</v>
      </c>
      <c r="B31" s="7"/>
      <c r="C31" s="8">
        <v>2000</v>
      </c>
      <c r="D31" s="6"/>
      <c r="E31" s="10"/>
      <c r="F31" s="20"/>
    </row>
    <row r="32" spans="1:6" x14ac:dyDescent="0.25">
      <c r="A32" s="19" t="s">
        <v>54</v>
      </c>
      <c r="B32" s="7"/>
      <c r="C32" s="8"/>
      <c r="D32" s="6"/>
      <c r="E32" s="10"/>
      <c r="F32" s="20"/>
    </row>
    <row r="33" spans="1:6" x14ac:dyDescent="0.25">
      <c r="A33" s="6" t="s">
        <v>55</v>
      </c>
      <c r="B33" s="7" t="s">
        <v>40</v>
      </c>
      <c r="C33" s="8">
        <f>ROUND(E3*10/100,2)</f>
        <v>45000</v>
      </c>
      <c r="D33" s="6"/>
      <c r="E33" s="10">
        <f>ROUND(C33/E10,2)</f>
        <v>30</v>
      </c>
      <c r="F33" s="20" t="s">
        <v>37</v>
      </c>
    </row>
    <row r="34" spans="1:6" x14ac:dyDescent="0.25">
      <c r="A34" s="11" t="s">
        <v>56</v>
      </c>
      <c r="B34" s="12"/>
      <c r="C34" s="13"/>
      <c r="D34" s="14" t="s">
        <v>36</v>
      </c>
      <c r="E34" s="15">
        <f>E35</f>
        <v>31</v>
      </c>
      <c r="F34" s="16" t="s">
        <v>37</v>
      </c>
    </row>
    <row r="35" spans="1:6" x14ac:dyDescent="0.25">
      <c r="A35" s="6" t="s">
        <v>57</v>
      </c>
      <c r="B35" s="7"/>
      <c r="C35" s="8"/>
      <c r="D35" s="18"/>
      <c r="E35" s="20">
        <f>C36+C38</f>
        <v>31</v>
      </c>
      <c r="F35" s="20" t="s">
        <v>37</v>
      </c>
    </row>
    <row r="36" spans="1:6" x14ac:dyDescent="0.25">
      <c r="A36" s="6" t="s">
        <v>58</v>
      </c>
      <c r="B36" s="7"/>
      <c r="C36" s="8">
        <f>15.5*2</f>
        <v>31</v>
      </c>
      <c r="D36" s="18" t="s">
        <v>37</v>
      </c>
      <c r="E36" s="20"/>
      <c r="F36" s="18"/>
    </row>
    <row r="37" spans="1:6" x14ac:dyDescent="0.25">
      <c r="A37" s="6" t="s">
        <v>59</v>
      </c>
      <c r="B37" s="7"/>
      <c r="C37" s="21">
        <v>1</v>
      </c>
      <c r="D37" s="18"/>
      <c r="E37" s="20"/>
      <c r="F37" s="18"/>
    </row>
    <row r="38" spans="1:6" x14ac:dyDescent="0.25">
      <c r="A38" s="6" t="s">
        <v>60</v>
      </c>
      <c r="B38" s="7"/>
      <c r="C38" s="8">
        <f>ROUND(15.5*2*(C37-1),2)</f>
        <v>0</v>
      </c>
      <c r="D38" s="18" t="s">
        <v>37</v>
      </c>
      <c r="E38" s="20"/>
      <c r="F38" s="18"/>
    </row>
    <row r="39" spans="1:6" x14ac:dyDescent="0.25">
      <c r="A39" s="11" t="s">
        <v>61</v>
      </c>
      <c r="B39" s="22"/>
      <c r="C39" s="23"/>
      <c r="D39" s="24"/>
      <c r="E39" s="15">
        <f>ROUND(E16+E34,2)</f>
        <v>188.04</v>
      </c>
      <c r="F39" s="37" t="s">
        <v>37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opLeftCell="A23" workbookViewId="0">
      <selection activeCell="C33" sqref="C33"/>
    </sheetView>
  </sheetViews>
  <sheetFormatPr baseColWidth="10" defaultRowHeight="15" x14ac:dyDescent="0.25"/>
  <cols>
    <col min="1" max="1" width="51.28515625" customWidth="1"/>
    <col min="2" max="2" width="5.85546875" bestFit="1" customWidth="1"/>
    <col min="3" max="3" width="10.28515625" bestFit="1" customWidth="1"/>
    <col min="4" max="4" width="8.42578125" bestFit="1" customWidth="1"/>
    <col min="5" max="5" width="7.5703125" bestFit="1" customWidth="1"/>
    <col min="6" max="6" width="9.28515625" bestFit="1" customWidth="1"/>
  </cols>
  <sheetData>
    <row r="1" spans="1:6" ht="26.25" x14ac:dyDescent="0.4">
      <c r="A1" s="38" t="s">
        <v>71</v>
      </c>
      <c r="B1" s="39"/>
      <c r="C1" s="39"/>
      <c r="D1" s="39"/>
      <c r="E1" s="39"/>
      <c r="F1" s="39"/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39" x14ac:dyDescent="0.25">
      <c r="A3" s="18" t="s">
        <v>1</v>
      </c>
      <c r="B3" s="26" t="s">
        <v>2</v>
      </c>
      <c r="C3" s="27"/>
      <c r="D3" s="18"/>
      <c r="E3" s="9">
        <v>300000</v>
      </c>
      <c r="F3" s="6" t="s">
        <v>3</v>
      </c>
    </row>
    <row r="4" spans="1:6" x14ac:dyDescent="0.25">
      <c r="A4" s="18" t="s">
        <v>4</v>
      </c>
      <c r="B4" s="26" t="s">
        <v>5</v>
      </c>
      <c r="C4" s="27"/>
      <c r="D4" s="18"/>
      <c r="E4" s="9">
        <f>(1-E7/E5)*E3</f>
        <v>90000.000000000015</v>
      </c>
      <c r="F4" s="6" t="s">
        <v>3</v>
      </c>
    </row>
    <row r="5" spans="1:6" x14ac:dyDescent="0.25">
      <c r="A5" s="18" t="s">
        <v>62</v>
      </c>
      <c r="B5" s="26" t="s">
        <v>7</v>
      </c>
      <c r="C5" s="27"/>
      <c r="D5" s="18"/>
      <c r="E5" s="9">
        <v>10</v>
      </c>
      <c r="F5" s="6" t="s">
        <v>8</v>
      </c>
    </row>
    <row r="6" spans="1:6" x14ac:dyDescent="0.25">
      <c r="A6" s="18" t="s">
        <v>9</v>
      </c>
      <c r="B6" s="26" t="s">
        <v>10</v>
      </c>
      <c r="C6" s="27"/>
      <c r="D6" s="18"/>
      <c r="E6" s="9">
        <v>16000</v>
      </c>
      <c r="F6" s="6" t="s">
        <v>11</v>
      </c>
    </row>
    <row r="7" spans="1:6" x14ac:dyDescent="0.25">
      <c r="A7" s="18" t="s">
        <v>12</v>
      </c>
      <c r="B7" s="26" t="s">
        <v>13</v>
      </c>
      <c r="C7" s="27"/>
      <c r="D7" s="18"/>
      <c r="E7" s="9">
        <f>E5*0.7</f>
        <v>7</v>
      </c>
      <c r="F7" s="6" t="s">
        <v>8</v>
      </c>
    </row>
    <row r="8" spans="1:6" x14ac:dyDescent="0.25">
      <c r="A8" s="18" t="s">
        <v>14</v>
      </c>
      <c r="B8" s="26" t="s">
        <v>15</v>
      </c>
      <c r="C8" s="27"/>
      <c r="D8" s="18"/>
      <c r="E8" s="9">
        <f>E6*0.7</f>
        <v>11200</v>
      </c>
      <c r="F8" s="6" t="s">
        <v>11</v>
      </c>
    </row>
    <row r="9" spans="1:6" x14ac:dyDescent="0.25">
      <c r="A9" s="18" t="s">
        <v>16</v>
      </c>
      <c r="B9" s="26" t="s">
        <v>17</v>
      </c>
      <c r="C9" s="27"/>
      <c r="D9" s="18"/>
      <c r="E9" s="9">
        <f>E6/E5</f>
        <v>1600</v>
      </c>
      <c r="F9" s="6" t="s">
        <v>18</v>
      </c>
    </row>
    <row r="10" spans="1:6" x14ac:dyDescent="0.25">
      <c r="A10" s="18" t="s">
        <v>19</v>
      </c>
      <c r="B10" s="26" t="s">
        <v>20</v>
      </c>
      <c r="C10" s="27"/>
      <c r="D10" s="18"/>
      <c r="E10" s="9">
        <v>1500</v>
      </c>
      <c r="F10" s="6" t="s">
        <v>18</v>
      </c>
    </row>
    <row r="11" spans="1:6" x14ac:dyDescent="0.25">
      <c r="A11" s="18" t="s">
        <v>21</v>
      </c>
      <c r="B11" s="26" t="s">
        <v>22</v>
      </c>
      <c r="C11" s="27"/>
      <c r="D11" s="18"/>
      <c r="E11" s="10">
        <v>9</v>
      </c>
      <c r="F11" s="6" t="s">
        <v>23</v>
      </c>
    </row>
    <row r="12" spans="1:6" x14ac:dyDescent="0.25">
      <c r="A12" s="18" t="s">
        <v>24</v>
      </c>
      <c r="B12" s="26" t="s">
        <v>25</v>
      </c>
      <c r="C12" s="27"/>
      <c r="D12" s="18"/>
      <c r="E12" s="10">
        <v>1.6</v>
      </c>
      <c r="F12" s="6" t="s">
        <v>26</v>
      </c>
    </row>
    <row r="13" spans="1:6" x14ac:dyDescent="0.25">
      <c r="A13" s="18" t="s">
        <v>27</v>
      </c>
      <c r="B13" s="26" t="s">
        <v>28</v>
      </c>
      <c r="C13" s="27"/>
      <c r="D13" s="18"/>
      <c r="E13" s="10">
        <v>0.9</v>
      </c>
      <c r="F13" s="6"/>
    </row>
    <row r="14" spans="1:6" x14ac:dyDescent="0.25">
      <c r="A14" s="18" t="s">
        <v>29</v>
      </c>
      <c r="B14" s="26" t="s">
        <v>30</v>
      </c>
      <c r="C14" s="27"/>
      <c r="D14" s="18"/>
      <c r="E14" s="10">
        <v>0.15</v>
      </c>
      <c r="F14" s="6"/>
    </row>
    <row r="15" spans="1:6" x14ac:dyDescent="0.25">
      <c r="A15" s="18" t="s">
        <v>31</v>
      </c>
      <c r="B15" s="26" t="s">
        <v>32</v>
      </c>
      <c r="C15" s="27"/>
      <c r="D15" s="18"/>
      <c r="E15" s="10">
        <v>8</v>
      </c>
      <c r="F15" s="6" t="s">
        <v>33</v>
      </c>
    </row>
    <row r="16" spans="1:6" x14ac:dyDescent="0.25">
      <c r="A16" s="29" t="s">
        <v>34</v>
      </c>
      <c r="B16" s="12"/>
      <c r="C16" s="13" t="s">
        <v>35</v>
      </c>
      <c r="D16" s="13" t="s">
        <v>36</v>
      </c>
      <c r="E16" s="15">
        <f>ROUND(SUM(E17:E25),2)</f>
        <v>88.16</v>
      </c>
      <c r="F16" s="16" t="s">
        <v>37</v>
      </c>
    </row>
    <row r="17" spans="1:6" ht="39" x14ac:dyDescent="0.25">
      <c r="A17" s="17" t="s">
        <v>38</v>
      </c>
      <c r="B17" s="7"/>
      <c r="C17" s="8"/>
      <c r="D17" s="6"/>
      <c r="E17" s="10">
        <f>ROUND(IF(E6/E5&lt;E10,(E3-E4)/E8,(E3-E4)/(E7*E10)),2)</f>
        <v>20</v>
      </c>
      <c r="F17" s="20" t="s">
        <v>37</v>
      </c>
    </row>
    <row r="18" spans="1:6" x14ac:dyDescent="0.25">
      <c r="A18" s="17" t="s">
        <v>39</v>
      </c>
      <c r="B18" s="7" t="s">
        <v>40</v>
      </c>
      <c r="C18" s="8">
        <f>((E3+E4)/2)*E15/100</f>
        <v>15600</v>
      </c>
      <c r="D18" s="6"/>
      <c r="E18" s="10">
        <f>ROUND(C18/E10,2)</f>
        <v>10.4</v>
      </c>
      <c r="F18" s="20" t="s">
        <v>37</v>
      </c>
    </row>
    <row r="19" spans="1:6" ht="26.25" x14ac:dyDescent="0.25">
      <c r="A19" s="17" t="s">
        <v>41</v>
      </c>
      <c r="B19" s="7"/>
      <c r="C19" s="8"/>
      <c r="D19" s="6"/>
      <c r="E19" s="10">
        <f>ROUND(E13*E3/E6,2)</f>
        <v>16.88</v>
      </c>
      <c r="F19" s="20" t="s">
        <v>37</v>
      </c>
    </row>
    <row r="20" spans="1:6" ht="26.25" x14ac:dyDescent="0.25">
      <c r="A20" s="17" t="s">
        <v>42</v>
      </c>
      <c r="B20" s="7"/>
      <c r="C20" s="8"/>
      <c r="D20" s="6"/>
      <c r="E20" s="10">
        <f>ROUND(E11*E12*(1+E14),2)</f>
        <v>16.559999999999999</v>
      </c>
      <c r="F20" s="20" t="s">
        <v>37</v>
      </c>
    </row>
    <row r="21" spans="1:6" x14ac:dyDescent="0.25">
      <c r="A21" s="31" t="s">
        <v>43</v>
      </c>
      <c r="B21" s="26" t="s">
        <v>40</v>
      </c>
      <c r="C21" s="8">
        <f>C22+C23</f>
        <v>9975</v>
      </c>
      <c r="D21" s="6"/>
      <c r="E21" s="10">
        <f>ROUND(C21/E10,2)</f>
        <v>6.65</v>
      </c>
      <c r="F21" s="20" t="s">
        <v>37</v>
      </c>
    </row>
    <row r="22" spans="1:6" ht="26.25" x14ac:dyDescent="0.25">
      <c r="A22" s="18" t="s">
        <v>67</v>
      </c>
      <c r="B22" s="26"/>
      <c r="C22" s="8">
        <f>ROUND(2*E10,2)</f>
        <v>3000</v>
      </c>
      <c r="D22" s="6"/>
      <c r="E22" s="10"/>
      <c r="F22" s="20"/>
    </row>
    <row r="23" spans="1:6" ht="26.25" x14ac:dyDescent="0.25">
      <c r="A23" s="18" t="s">
        <v>45</v>
      </c>
      <c r="B23" s="26"/>
      <c r="C23" s="8">
        <f>ROUND(E35*0.15*E10,2)</f>
        <v>6975</v>
      </c>
      <c r="D23" s="6"/>
      <c r="E23" s="10"/>
      <c r="F23" s="20"/>
    </row>
    <row r="24" spans="1:6" x14ac:dyDescent="0.25">
      <c r="A24" s="31" t="s">
        <v>46</v>
      </c>
      <c r="B24" s="26"/>
      <c r="C24" s="8"/>
      <c r="D24" s="6"/>
      <c r="E24" s="10"/>
      <c r="F24" s="20"/>
    </row>
    <row r="25" spans="1:6" x14ac:dyDescent="0.25">
      <c r="A25" s="32" t="s">
        <v>47</v>
      </c>
      <c r="B25" s="26" t="s">
        <v>40</v>
      </c>
      <c r="C25" s="8">
        <f>SUM(C26:C31)</f>
        <v>26500</v>
      </c>
      <c r="D25" s="6"/>
      <c r="E25" s="10">
        <f>ROUND(C25/E10,2)</f>
        <v>17.670000000000002</v>
      </c>
      <c r="F25" s="20" t="s">
        <v>37</v>
      </c>
    </row>
    <row r="26" spans="1:6" x14ac:dyDescent="0.25">
      <c r="A26" s="18" t="s">
        <v>48</v>
      </c>
      <c r="B26" s="26"/>
      <c r="C26" s="8">
        <v>600</v>
      </c>
      <c r="D26" s="6"/>
      <c r="E26" s="10"/>
      <c r="F26" s="20"/>
    </row>
    <row r="27" spans="1:6" x14ac:dyDescent="0.25">
      <c r="A27" s="18" t="s">
        <v>49</v>
      </c>
      <c r="B27" s="26"/>
      <c r="C27" s="8">
        <f>ROUND(E3*1.4/100,2)</f>
        <v>4200</v>
      </c>
      <c r="D27" s="6"/>
      <c r="E27" s="6"/>
      <c r="F27" s="20"/>
    </row>
    <row r="28" spans="1:6" x14ac:dyDescent="0.25">
      <c r="A28" s="18" t="s">
        <v>50</v>
      </c>
      <c r="B28" s="26"/>
      <c r="C28" s="8">
        <v>800</v>
      </c>
      <c r="D28" s="6"/>
      <c r="E28" s="10"/>
      <c r="F28" s="20"/>
    </row>
    <row r="29" spans="1:6" x14ac:dyDescent="0.25">
      <c r="A29" s="18" t="s">
        <v>68</v>
      </c>
      <c r="B29" s="26"/>
      <c r="C29" s="8">
        <f>ROUND(E3*5/100,2)</f>
        <v>15000</v>
      </c>
      <c r="D29" s="6"/>
      <c r="E29" s="10"/>
      <c r="F29" s="20"/>
    </row>
    <row r="30" spans="1:6" x14ac:dyDescent="0.25">
      <c r="A30" s="18" t="s">
        <v>69</v>
      </c>
      <c r="B30" s="26"/>
      <c r="C30" s="8">
        <f>ROUND(E3*1.5/100,2)</f>
        <v>4500</v>
      </c>
      <c r="D30" s="6"/>
      <c r="E30" s="10"/>
      <c r="F30" s="20"/>
    </row>
    <row r="31" spans="1:6" x14ac:dyDescent="0.25">
      <c r="A31" s="6" t="s">
        <v>53</v>
      </c>
      <c r="B31" s="26"/>
      <c r="C31" s="8">
        <v>1400</v>
      </c>
      <c r="D31" s="6"/>
      <c r="E31" s="10"/>
      <c r="F31" s="20"/>
    </row>
    <row r="32" spans="1:6" x14ac:dyDescent="0.25">
      <c r="A32" s="32" t="s">
        <v>54</v>
      </c>
      <c r="B32" s="26"/>
      <c r="C32" s="8"/>
      <c r="D32" s="6"/>
      <c r="E32" s="10"/>
      <c r="F32" s="20"/>
    </row>
    <row r="33" spans="1:6" x14ac:dyDescent="0.25">
      <c r="A33" s="18" t="s">
        <v>66</v>
      </c>
      <c r="B33" s="26" t="s">
        <v>40</v>
      </c>
      <c r="C33" s="8">
        <f>ROUND(E3*9/100,2)</f>
        <v>27000</v>
      </c>
      <c r="D33" s="6"/>
      <c r="E33" s="10">
        <f>ROUND(C33/E10,2)</f>
        <v>18</v>
      </c>
      <c r="F33" s="20" t="s">
        <v>37</v>
      </c>
    </row>
    <row r="34" spans="1:6" x14ac:dyDescent="0.25">
      <c r="A34" s="25" t="s">
        <v>56</v>
      </c>
      <c r="B34" s="33"/>
      <c r="C34" s="34"/>
      <c r="D34" s="13" t="s">
        <v>36</v>
      </c>
      <c r="E34" s="15">
        <f>E35</f>
        <v>31</v>
      </c>
      <c r="F34" s="16" t="s">
        <v>37</v>
      </c>
    </row>
    <row r="35" spans="1:6" x14ac:dyDescent="0.25">
      <c r="A35" s="6" t="s">
        <v>57</v>
      </c>
      <c r="B35" s="7"/>
      <c r="C35" s="8"/>
      <c r="D35" s="18"/>
      <c r="E35" s="20">
        <f>C36+C38</f>
        <v>31</v>
      </c>
      <c r="F35" s="20" t="s">
        <v>37</v>
      </c>
    </row>
    <row r="36" spans="1:6" x14ac:dyDescent="0.25">
      <c r="A36" s="6" t="s">
        <v>58</v>
      </c>
      <c r="B36" s="7"/>
      <c r="C36" s="8">
        <f>15.5*2</f>
        <v>31</v>
      </c>
      <c r="D36" s="18" t="s">
        <v>37</v>
      </c>
      <c r="E36" s="20"/>
      <c r="F36" s="18"/>
    </row>
    <row r="37" spans="1:6" x14ac:dyDescent="0.25">
      <c r="A37" s="6" t="s">
        <v>59</v>
      </c>
      <c r="B37" s="7"/>
      <c r="C37" s="21">
        <v>1</v>
      </c>
      <c r="D37" s="18"/>
      <c r="E37" s="20"/>
      <c r="F37" s="18"/>
    </row>
    <row r="38" spans="1:6" x14ac:dyDescent="0.25">
      <c r="A38" s="6" t="s">
        <v>60</v>
      </c>
      <c r="B38" s="7"/>
      <c r="C38" s="8">
        <f>ROUND(15.5*2*(C37-1),2)</f>
        <v>0</v>
      </c>
      <c r="D38" s="18" t="s">
        <v>37</v>
      </c>
      <c r="E38" s="20"/>
      <c r="F38" s="18"/>
    </row>
    <row r="39" spans="1:6" x14ac:dyDescent="0.25">
      <c r="A39" s="11" t="s">
        <v>61</v>
      </c>
      <c r="B39" s="35"/>
      <c r="C39" s="36"/>
      <c r="D39" s="11"/>
      <c r="E39" s="15">
        <f>ROUND(E16+E34,2)</f>
        <v>119.16</v>
      </c>
      <c r="F39" s="37" t="s">
        <v>37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topLeftCell="A18" workbookViewId="0">
      <selection sqref="A1:F39"/>
    </sheetView>
  </sheetViews>
  <sheetFormatPr baseColWidth="10" defaultColWidth="11.42578125" defaultRowHeight="15" x14ac:dyDescent="0.25"/>
  <cols>
    <col min="1" max="1" width="51.5703125" style="49" customWidth="1"/>
    <col min="2" max="2" width="5.85546875" style="49" bestFit="1" customWidth="1"/>
    <col min="3" max="3" width="10.28515625" style="49" bestFit="1" customWidth="1"/>
    <col min="4" max="4" width="8.42578125" style="49" bestFit="1" customWidth="1"/>
    <col min="5" max="5" width="7.5703125" style="49" bestFit="1" customWidth="1"/>
    <col min="6" max="6" width="9.28515625" style="49" bestFit="1" customWidth="1"/>
    <col min="7" max="16384" width="11.42578125" style="49"/>
  </cols>
  <sheetData>
    <row r="1" spans="1:6" ht="26.25" x14ac:dyDescent="0.4">
      <c r="A1" s="48" t="s">
        <v>72</v>
      </c>
      <c r="B1" s="72"/>
      <c r="C1" s="72"/>
      <c r="D1" s="72"/>
      <c r="E1" s="72"/>
      <c r="F1" s="72"/>
    </row>
    <row r="2" spans="1:6" x14ac:dyDescent="0.25">
      <c r="A2" s="50" t="s">
        <v>0</v>
      </c>
      <c r="B2" s="51"/>
      <c r="C2" s="50"/>
      <c r="D2" s="52"/>
      <c r="E2" s="50"/>
      <c r="F2" s="53"/>
    </row>
    <row r="3" spans="1:6" ht="39" x14ac:dyDescent="0.25">
      <c r="A3" s="45" t="s">
        <v>1</v>
      </c>
      <c r="B3" s="54" t="s">
        <v>2</v>
      </c>
      <c r="C3" s="55"/>
      <c r="D3" s="45"/>
      <c r="E3" s="56">
        <v>210000</v>
      </c>
      <c r="F3" s="42" t="s">
        <v>3</v>
      </c>
    </row>
    <row r="4" spans="1:6" x14ac:dyDescent="0.25">
      <c r="A4" s="45" t="s">
        <v>4</v>
      </c>
      <c r="B4" s="54" t="s">
        <v>5</v>
      </c>
      <c r="C4" s="55"/>
      <c r="D4" s="45"/>
      <c r="E4" s="43">
        <f>(1-E7/E5)*E3</f>
        <v>84000</v>
      </c>
      <c r="F4" s="42" t="s">
        <v>3</v>
      </c>
    </row>
    <row r="5" spans="1:6" x14ac:dyDescent="0.25">
      <c r="A5" s="45" t="s">
        <v>62</v>
      </c>
      <c r="B5" s="54" t="s">
        <v>7</v>
      </c>
      <c r="C5" s="55"/>
      <c r="D5" s="45"/>
      <c r="E5" s="43">
        <v>15</v>
      </c>
      <c r="F5" s="42" t="s">
        <v>8</v>
      </c>
    </row>
    <row r="6" spans="1:6" x14ac:dyDescent="0.25">
      <c r="A6" s="45" t="s">
        <v>9</v>
      </c>
      <c r="B6" s="54" t="s">
        <v>10</v>
      </c>
      <c r="C6" s="55"/>
      <c r="D6" s="45"/>
      <c r="E6" s="56">
        <v>17000</v>
      </c>
      <c r="F6" s="42" t="s">
        <v>11</v>
      </c>
    </row>
    <row r="7" spans="1:6" x14ac:dyDescent="0.25">
      <c r="A7" s="45" t="s">
        <v>12</v>
      </c>
      <c r="B7" s="54" t="s">
        <v>13</v>
      </c>
      <c r="C7" s="55"/>
      <c r="D7" s="45"/>
      <c r="E7" s="43">
        <v>9</v>
      </c>
      <c r="F7" s="42" t="s">
        <v>8</v>
      </c>
    </row>
    <row r="8" spans="1:6" x14ac:dyDescent="0.25">
      <c r="A8" s="45" t="s">
        <v>14</v>
      </c>
      <c r="B8" s="54" t="s">
        <v>15</v>
      </c>
      <c r="C8" s="55"/>
      <c r="D8" s="45"/>
      <c r="E8" s="43">
        <f>E6-E6*(1-E7/E5)</f>
        <v>10200</v>
      </c>
      <c r="F8" s="42" t="s">
        <v>11</v>
      </c>
    </row>
    <row r="9" spans="1:6" x14ac:dyDescent="0.25">
      <c r="A9" s="45" t="s">
        <v>16</v>
      </c>
      <c r="B9" s="54" t="s">
        <v>17</v>
      </c>
      <c r="C9" s="55"/>
      <c r="D9" s="45"/>
      <c r="E9" s="56">
        <f>E6/E5</f>
        <v>1133.3333333333333</v>
      </c>
      <c r="F9" s="42" t="s">
        <v>18</v>
      </c>
    </row>
    <row r="10" spans="1:6" x14ac:dyDescent="0.25">
      <c r="A10" s="45" t="s">
        <v>19</v>
      </c>
      <c r="B10" s="54" t="s">
        <v>20</v>
      </c>
      <c r="C10" s="55"/>
      <c r="D10" s="45"/>
      <c r="E10" s="43">
        <v>1200</v>
      </c>
      <c r="F10" s="42" t="s">
        <v>18</v>
      </c>
    </row>
    <row r="11" spans="1:6" x14ac:dyDescent="0.25">
      <c r="A11" s="45" t="s">
        <v>21</v>
      </c>
      <c r="B11" s="54" t="s">
        <v>22</v>
      </c>
      <c r="C11" s="55"/>
      <c r="D11" s="45"/>
      <c r="E11" s="46">
        <v>7</v>
      </c>
      <c r="F11" s="42" t="s">
        <v>23</v>
      </c>
    </row>
    <row r="12" spans="1:6" x14ac:dyDescent="0.25">
      <c r="A12" s="45" t="s">
        <v>24</v>
      </c>
      <c r="B12" s="54" t="s">
        <v>25</v>
      </c>
      <c r="C12" s="55"/>
      <c r="D12" s="45"/>
      <c r="E12" s="46">
        <v>1.6</v>
      </c>
      <c r="F12" s="42" t="s">
        <v>26</v>
      </c>
    </row>
    <row r="13" spans="1:6" x14ac:dyDescent="0.25">
      <c r="A13" s="45" t="s">
        <v>27</v>
      </c>
      <c r="B13" s="54" t="s">
        <v>28</v>
      </c>
      <c r="C13" s="55"/>
      <c r="D13" s="45"/>
      <c r="E13" s="46">
        <v>0.9</v>
      </c>
      <c r="F13" s="42"/>
    </row>
    <row r="14" spans="1:6" x14ac:dyDescent="0.25">
      <c r="A14" s="45" t="s">
        <v>29</v>
      </c>
      <c r="B14" s="54" t="s">
        <v>30</v>
      </c>
      <c r="C14" s="55"/>
      <c r="D14" s="45"/>
      <c r="E14" s="46">
        <v>0.15</v>
      </c>
      <c r="F14" s="42"/>
    </row>
    <row r="15" spans="1:6" x14ac:dyDescent="0.25">
      <c r="A15" s="45" t="s">
        <v>31</v>
      </c>
      <c r="B15" s="54" t="s">
        <v>32</v>
      </c>
      <c r="C15" s="55"/>
      <c r="D15" s="45"/>
      <c r="E15" s="46">
        <v>8</v>
      </c>
      <c r="F15" s="42" t="s">
        <v>33</v>
      </c>
    </row>
    <row r="16" spans="1:6" x14ac:dyDescent="0.25">
      <c r="A16" s="50" t="s">
        <v>34</v>
      </c>
      <c r="B16" s="51"/>
      <c r="C16" s="57" t="s">
        <v>35</v>
      </c>
      <c r="D16" s="57" t="s">
        <v>36</v>
      </c>
      <c r="E16" s="58">
        <f>ROUND(SUM(E17:E25),2)</f>
        <v>65.03</v>
      </c>
      <c r="F16" s="59" t="s">
        <v>37</v>
      </c>
    </row>
    <row r="17" spans="1:6" ht="39" x14ac:dyDescent="0.25">
      <c r="A17" s="60" t="s">
        <v>38</v>
      </c>
      <c r="B17" s="40"/>
      <c r="C17" s="41"/>
      <c r="D17" s="42"/>
      <c r="E17" s="44">
        <f>ROUND(IF(E6/E5&lt;E10,(E3-E4)/E8,(E3-E4)/(E7*E10)),2)</f>
        <v>12.35</v>
      </c>
      <c r="F17" s="46" t="s">
        <v>37</v>
      </c>
    </row>
    <row r="18" spans="1:6" x14ac:dyDescent="0.25">
      <c r="A18" s="60" t="s">
        <v>39</v>
      </c>
      <c r="B18" s="40" t="s">
        <v>40</v>
      </c>
      <c r="C18" s="41">
        <f>((E3+E4)/2)*E15/100</f>
        <v>11760</v>
      </c>
      <c r="D18" s="42"/>
      <c r="E18" s="44">
        <f>ROUND(C18/E10,2)</f>
        <v>9.8000000000000007</v>
      </c>
      <c r="F18" s="46" t="s">
        <v>37</v>
      </c>
    </row>
    <row r="19" spans="1:6" ht="26.25" x14ac:dyDescent="0.25">
      <c r="A19" s="60" t="s">
        <v>41</v>
      </c>
      <c r="B19" s="40"/>
      <c r="C19" s="41"/>
      <c r="D19" s="42"/>
      <c r="E19" s="44">
        <f>ROUND(E13*E3/E6,2)</f>
        <v>11.12</v>
      </c>
      <c r="F19" s="46" t="s">
        <v>37</v>
      </c>
    </row>
    <row r="20" spans="1:6" ht="26.25" x14ac:dyDescent="0.25">
      <c r="A20" s="60" t="s">
        <v>42</v>
      </c>
      <c r="B20" s="40"/>
      <c r="C20" s="41"/>
      <c r="D20" s="42"/>
      <c r="E20" s="44">
        <f>ROUND(E11*E12*(1+E14),2)</f>
        <v>12.88</v>
      </c>
      <c r="F20" s="46" t="s">
        <v>37</v>
      </c>
    </row>
    <row r="21" spans="1:6" x14ac:dyDescent="0.25">
      <c r="A21" s="61" t="s">
        <v>43</v>
      </c>
      <c r="B21" s="54" t="s">
        <v>40</v>
      </c>
      <c r="C21" s="55">
        <f>C22+C23</f>
        <v>4320</v>
      </c>
      <c r="D21" s="45"/>
      <c r="E21" s="46">
        <f>ROUND(C21/E10,2)</f>
        <v>3.6</v>
      </c>
      <c r="F21" s="46" t="s">
        <v>37</v>
      </c>
    </row>
    <row r="22" spans="1:6" ht="26.25" x14ac:dyDescent="0.25">
      <c r="A22" s="45" t="s">
        <v>63</v>
      </c>
      <c r="B22" s="54"/>
      <c r="C22" s="55">
        <f>0.5*E10</f>
        <v>600</v>
      </c>
      <c r="D22" s="45"/>
      <c r="E22" s="46"/>
      <c r="F22" s="46"/>
    </row>
    <row r="23" spans="1:6" ht="26.25" x14ac:dyDescent="0.25">
      <c r="A23" s="45" t="s">
        <v>64</v>
      </c>
      <c r="B23" s="54"/>
      <c r="C23" s="55">
        <f>E35*0.1*E10</f>
        <v>3720</v>
      </c>
      <c r="D23" s="45"/>
      <c r="E23" s="46"/>
      <c r="F23" s="46"/>
    </row>
    <row r="24" spans="1:6" x14ac:dyDescent="0.25">
      <c r="A24" s="60" t="s">
        <v>46</v>
      </c>
      <c r="B24" s="40"/>
      <c r="C24" s="41"/>
      <c r="D24" s="42"/>
      <c r="E24" s="44"/>
      <c r="F24" s="46"/>
    </row>
    <row r="25" spans="1:6" x14ac:dyDescent="0.25">
      <c r="A25" s="62" t="s">
        <v>47</v>
      </c>
      <c r="B25" s="40" t="s">
        <v>40</v>
      </c>
      <c r="C25" s="41">
        <f>SUM(C26:C31)</f>
        <v>18340</v>
      </c>
      <c r="D25" s="42"/>
      <c r="E25" s="44">
        <f>ROUND(C25/E10,2)</f>
        <v>15.28</v>
      </c>
      <c r="F25" s="46" t="s">
        <v>37</v>
      </c>
    </row>
    <row r="26" spans="1:6" x14ac:dyDescent="0.25">
      <c r="A26" s="42" t="s">
        <v>48</v>
      </c>
      <c r="B26" s="40"/>
      <c r="C26" s="41">
        <v>600</v>
      </c>
      <c r="D26" s="42"/>
      <c r="E26" s="44"/>
      <c r="F26" s="46"/>
    </row>
    <row r="27" spans="1:6" x14ac:dyDescent="0.25">
      <c r="A27" s="42" t="s">
        <v>49</v>
      </c>
      <c r="B27" s="40"/>
      <c r="C27" s="41">
        <f>ROUND(E3*1.4/100,2)</f>
        <v>2940</v>
      </c>
      <c r="D27" s="42"/>
      <c r="E27" s="42"/>
      <c r="F27" s="46"/>
    </row>
    <row r="28" spans="1:6" x14ac:dyDescent="0.25">
      <c r="A28" s="42" t="s">
        <v>50</v>
      </c>
      <c r="B28" s="40"/>
      <c r="C28" s="41">
        <v>800</v>
      </c>
      <c r="D28" s="42"/>
      <c r="E28" s="44"/>
      <c r="F28" s="46"/>
    </row>
    <row r="29" spans="1:6" x14ac:dyDescent="0.25">
      <c r="A29" s="42" t="s">
        <v>51</v>
      </c>
      <c r="B29" s="40"/>
      <c r="C29" s="41">
        <f>ROUND(E3*5/100,2)</f>
        <v>10500</v>
      </c>
      <c r="D29" s="42"/>
      <c r="E29" s="44"/>
      <c r="F29" s="46"/>
    </row>
    <row r="30" spans="1:6" x14ac:dyDescent="0.25">
      <c r="A30" s="45" t="s">
        <v>65</v>
      </c>
      <c r="B30" s="54"/>
      <c r="C30" s="55">
        <f>E3*1/100</f>
        <v>2100</v>
      </c>
      <c r="D30" s="45"/>
      <c r="E30" s="46"/>
      <c r="F30" s="46"/>
    </row>
    <row r="31" spans="1:6" x14ac:dyDescent="0.25">
      <c r="A31" s="42" t="s">
        <v>53</v>
      </c>
      <c r="B31" s="54"/>
      <c r="C31" s="55">
        <v>1400</v>
      </c>
      <c r="D31" s="45"/>
      <c r="E31" s="46"/>
      <c r="F31" s="46"/>
    </row>
    <row r="32" spans="1:6" x14ac:dyDescent="0.25">
      <c r="A32" s="63" t="s">
        <v>54</v>
      </c>
      <c r="B32" s="54"/>
      <c r="C32" s="55"/>
      <c r="D32" s="45"/>
      <c r="E32" s="46"/>
      <c r="F32" s="46"/>
    </row>
    <row r="33" spans="1:6" x14ac:dyDescent="0.25">
      <c r="A33" s="45" t="s">
        <v>66</v>
      </c>
      <c r="B33" s="54" t="s">
        <v>40</v>
      </c>
      <c r="C33" s="55">
        <f>E3*9/100</f>
        <v>18900</v>
      </c>
      <c r="D33" s="45"/>
      <c r="E33" s="46">
        <f>ROUND(C33/E10,2)</f>
        <v>15.75</v>
      </c>
      <c r="F33" s="46" t="s">
        <v>37</v>
      </c>
    </row>
    <row r="34" spans="1:6" x14ac:dyDescent="0.25">
      <c r="A34" s="64" t="s">
        <v>56</v>
      </c>
      <c r="B34" s="65"/>
      <c r="C34" s="66"/>
      <c r="D34" s="57" t="s">
        <v>36</v>
      </c>
      <c r="E34" s="58">
        <f>E35</f>
        <v>31</v>
      </c>
      <c r="F34" s="59" t="s">
        <v>37</v>
      </c>
    </row>
    <row r="35" spans="1:6" x14ac:dyDescent="0.25">
      <c r="A35" s="42" t="s">
        <v>57</v>
      </c>
      <c r="B35" s="40"/>
      <c r="C35" s="41"/>
      <c r="D35" s="45"/>
      <c r="E35" s="46">
        <f>C36+C38</f>
        <v>31</v>
      </c>
      <c r="F35" s="46" t="s">
        <v>37</v>
      </c>
    </row>
    <row r="36" spans="1:6" x14ac:dyDescent="0.25">
      <c r="A36" s="42" t="s">
        <v>58</v>
      </c>
      <c r="B36" s="40"/>
      <c r="C36" s="41">
        <f>15.5*2</f>
        <v>31</v>
      </c>
      <c r="D36" s="45" t="s">
        <v>37</v>
      </c>
      <c r="E36" s="46"/>
      <c r="F36" s="45"/>
    </row>
    <row r="37" spans="1:6" x14ac:dyDescent="0.25">
      <c r="A37" s="42" t="s">
        <v>59</v>
      </c>
      <c r="B37" s="40"/>
      <c r="C37" s="47">
        <v>1</v>
      </c>
      <c r="D37" s="45"/>
      <c r="E37" s="46"/>
      <c r="F37" s="45"/>
    </row>
    <row r="38" spans="1:6" x14ac:dyDescent="0.25">
      <c r="A38" s="42" t="s">
        <v>60</v>
      </c>
      <c r="B38" s="40"/>
      <c r="C38" s="41">
        <f>ROUND(15.5*2*(C37-1),2)</f>
        <v>0</v>
      </c>
      <c r="D38" s="45" t="s">
        <v>37</v>
      </c>
      <c r="E38" s="46"/>
      <c r="F38" s="45"/>
    </row>
    <row r="39" spans="1:6" x14ac:dyDescent="0.25">
      <c r="A39" s="67" t="s">
        <v>61</v>
      </c>
      <c r="B39" s="68"/>
      <c r="C39" s="69"/>
      <c r="D39" s="67"/>
      <c r="E39" s="70">
        <f>E16+E34</f>
        <v>96.03</v>
      </c>
      <c r="F39" s="71" t="s">
        <v>37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topLeftCell="A16" workbookViewId="0">
      <selection activeCell="K48" sqref="K48"/>
    </sheetView>
  </sheetViews>
  <sheetFormatPr baseColWidth="10" defaultRowHeight="15" x14ac:dyDescent="0.25"/>
  <cols>
    <col min="1" max="1" width="51.28515625" customWidth="1"/>
    <col min="2" max="2" width="5.85546875" bestFit="1" customWidth="1"/>
    <col min="3" max="3" width="9.28515625" bestFit="1" customWidth="1"/>
    <col min="4" max="4" width="8.42578125" bestFit="1" customWidth="1"/>
    <col min="5" max="5" width="6.5703125" bestFit="1" customWidth="1"/>
    <col min="6" max="6" width="9.28515625" bestFit="1" customWidth="1"/>
  </cols>
  <sheetData>
    <row r="1" spans="1:6" ht="26.25" x14ac:dyDescent="0.4">
      <c r="A1" s="38" t="s">
        <v>73</v>
      </c>
      <c r="B1" s="39"/>
      <c r="C1" s="39"/>
      <c r="D1" s="39"/>
      <c r="E1" s="39"/>
      <c r="F1" s="39"/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39" x14ac:dyDescent="0.25">
      <c r="A3" s="18" t="s">
        <v>1</v>
      </c>
      <c r="B3" s="26" t="s">
        <v>2</v>
      </c>
      <c r="C3" s="27"/>
      <c r="D3" s="18"/>
      <c r="E3" s="28">
        <v>75000</v>
      </c>
      <c r="F3" s="6" t="s">
        <v>3</v>
      </c>
    </row>
    <row r="4" spans="1:6" x14ac:dyDescent="0.25">
      <c r="A4" s="18" t="s">
        <v>4</v>
      </c>
      <c r="B4" s="26" t="s">
        <v>5</v>
      </c>
      <c r="C4" s="27"/>
      <c r="D4" s="18"/>
      <c r="E4" s="9">
        <f>(1-E7/E5)*E3</f>
        <v>30000</v>
      </c>
      <c r="F4" s="6" t="s">
        <v>3</v>
      </c>
    </row>
    <row r="5" spans="1:6" x14ac:dyDescent="0.25">
      <c r="A5" s="18" t="s">
        <v>62</v>
      </c>
      <c r="B5" s="26" t="s">
        <v>7</v>
      </c>
      <c r="C5" s="27"/>
      <c r="D5" s="18"/>
      <c r="E5" s="9">
        <v>15</v>
      </c>
      <c r="F5" s="6" t="s">
        <v>8</v>
      </c>
    </row>
    <row r="6" spans="1:6" x14ac:dyDescent="0.25">
      <c r="A6" s="18" t="s">
        <v>9</v>
      </c>
      <c r="B6" s="26" t="s">
        <v>10</v>
      </c>
      <c r="C6" s="27"/>
      <c r="D6" s="18"/>
      <c r="E6" s="28">
        <v>10000</v>
      </c>
      <c r="F6" s="6" t="s">
        <v>11</v>
      </c>
    </row>
    <row r="7" spans="1:6" x14ac:dyDescent="0.25">
      <c r="A7" s="18" t="s">
        <v>12</v>
      </c>
      <c r="B7" s="26" t="s">
        <v>13</v>
      </c>
      <c r="C7" s="27"/>
      <c r="D7" s="18"/>
      <c r="E7" s="9">
        <v>9</v>
      </c>
      <c r="F7" s="6" t="s">
        <v>8</v>
      </c>
    </row>
    <row r="8" spans="1:6" x14ac:dyDescent="0.25">
      <c r="A8" s="18" t="s">
        <v>14</v>
      </c>
      <c r="B8" s="26" t="s">
        <v>15</v>
      </c>
      <c r="C8" s="27"/>
      <c r="D8" s="18"/>
      <c r="E8" s="9">
        <f>E6-E6*(1-E7/E5)</f>
        <v>6000</v>
      </c>
      <c r="F8" s="6" t="s">
        <v>11</v>
      </c>
    </row>
    <row r="9" spans="1:6" x14ac:dyDescent="0.25">
      <c r="A9" s="18" t="s">
        <v>16</v>
      </c>
      <c r="B9" s="26" t="s">
        <v>17</v>
      </c>
      <c r="C9" s="27"/>
      <c r="D9" s="18"/>
      <c r="E9" s="28">
        <v>667</v>
      </c>
      <c r="F9" s="6" t="s">
        <v>18</v>
      </c>
    </row>
    <row r="10" spans="1:6" x14ac:dyDescent="0.25">
      <c r="A10" s="18" t="s">
        <v>19</v>
      </c>
      <c r="B10" s="26" t="s">
        <v>20</v>
      </c>
      <c r="C10" s="27"/>
      <c r="D10" s="18"/>
      <c r="E10" s="9">
        <v>700</v>
      </c>
      <c r="F10" s="6" t="s">
        <v>18</v>
      </c>
    </row>
    <row r="11" spans="1:6" x14ac:dyDescent="0.25">
      <c r="A11" s="18" t="s">
        <v>21</v>
      </c>
      <c r="B11" s="26" t="s">
        <v>22</v>
      </c>
      <c r="C11" s="27"/>
      <c r="D11" s="18"/>
      <c r="E11" s="20">
        <v>4.5</v>
      </c>
      <c r="F11" s="6" t="s">
        <v>23</v>
      </c>
    </row>
    <row r="12" spans="1:6" x14ac:dyDescent="0.25">
      <c r="A12" s="18" t="s">
        <v>24</v>
      </c>
      <c r="B12" s="26" t="s">
        <v>25</v>
      </c>
      <c r="C12" s="27"/>
      <c r="D12" s="18"/>
      <c r="E12" s="20">
        <v>1.6</v>
      </c>
      <c r="F12" s="6" t="s">
        <v>26</v>
      </c>
    </row>
    <row r="13" spans="1:6" x14ac:dyDescent="0.25">
      <c r="A13" s="18" t="s">
        <v>27</v>
      </c>
      <c r="B13" s="26" t="s">
        <v>28</v>
      </c>
      <c r="C13" s="27"/>
      <c r="D13" s="18"/>
      <c r="E13" s="20">
        <v>0.6</v>
      </c>
      <c r="F13" s="6"/>
    </row>
    <row r="14" spans="1:6" x14ac:dyDescent="0.25">
      <c r="A14" s="18" t="s">
        <v>29</v>
      </c>
      <c r="B14" s="26" t="s">
        <v>30</v>
      </c>
      <c r="C14" s="27"/>
      <c r="D14" s="18"/>
      <c r="E14" s="20">
        <v>0.05</v>
      </c>
      <c r="F14" s="6"/>
    </row>
    <row r="15" spans="1:6" x14ac:dyDescent="0.25">
      <c r="A15" s="18" t="s">
        <v>31</v>
      </c>
      <c r="B15" s="26" t="s">
        <v>32</v>
      </c>
      <c r="C15" s="27"/>
      <c r="D15" s="18"/>
      <c r="E15" s="20">
        <v>8</v>
      </c>
      <c r="F15" s="6" t="s">
        <v>33</v>
      </c>
    </row>
    <row r="16" spans="1:6" x14ac:dyDescent="0.25">
      <c r="A16" s="29" t="s">
        <v>34</v>
      </c>
      <c r="B16" s="12"/>
      <c r="C16" s="13" t="s">
        <v>35</v>
      </c>
      <c r="D16" s="13" t="s">
        <v>36</v>
      </c>
      <c r="E16" s="30">
        <f>ROUND(SUM(E17:E25),2)</f>
        <v>39.799999999999997</v>
      </c>
      <c r="F16" s="16" t="s">
        <v>37</v>
      </c>
    </row>
    <row r="17" spans="1:6" ht="39" x14ac:dyDescent="0.25">
      <c r="A17" s="17" t="s">
        <v>38</v>
      </c>
      <c r="B17" s="7"/>
      <c r="C17" s="8"/>
      <c r="D17" s="6"/>
      <c r="E17" s="10">
        <f>ROUND(IF(E6/E5&lt;E10,(E3-E4)/E8,(E3-E4)/(E7*E10)),2)</f>
        <v>7.5</v>
      </c>
      <c r="F17" s="20" t="s">
        <v>37</v>
      </c>
    </row>
    <row r="18" spans="1:6" x14ac:dyDescent="0.25">
      <c r="A18" s="17" t="s">
        <v>39</v>
      </c>
      <c r="B18" s="7" t="s">
        <v>40</v>
      </c>
      <c r="C18" s="8">
        <f>((E3+E4)/2)*E15/100</f>
        <v>4200</v>
      </c>
      <c r="D18" s="6"/>
      <c r="E18" s="10">
        <f>ROUND(C18/E10,2)</f>
        <v>6</v>
      </c>
      <c r="F18" s="20" t="s">
        <v>37</v>
      </c>
    </row>
    <row r="19" spans="1:6" ht="26.25" x14ac:dyDescent="0.25">
      <c r="A19" s="17" t="s">
        <v>41</v>
      </c>
      <c r="B19" s="7"/>
      <c r="C19" s="8"/>
      <c r="D19" s="6"/>
      <c r="E19" s="10">
        <f>ROUND(E13*E3/E6,2)</f>
        <v>4.5</v>
      </c>
      <c r="F19" s="20" t="s">
        <v>37</v>
      </c>
    </row>
    <row r="20" spans="1:6" ht="26.25" x14ac:dyDescent="0.25">
      <c r="A20" s="17" t="s">
        <v>42</v>
      </c>
      <c r="B20" s="7"/>
      <c r="C20" s="8"/>
      <c r="D20" s="6"/>
      <c r="E20" s="10">
        <f>ROUND(E11*E12*(1+E14),2)</f>
        <v>7.56</v>
      </c>
      <c r="F20" s="20" t="s">
        <v>37</v>
      </c>
    </row>
    <row r="21" spans="1:6" x14ac:dyDescent="0.25">
      <c r="A21" s="31" t="s">
        <v>43</v>
      </c>
      <c r="B21" s="26" t="s">
        <v>40</v>
      </c>
      <c r="C21" s="27">
        <f>C22+C23</f>
        <v>2520</v>
      </c>
      <c r="D21" s="18"/>
      <c r="E21" s="20">
        <f>ROUND(C21/E10,2)</f>
        <v>3.6</v>
      </c>
      <c r="F21" s="20" t="s">
        <v>37</v>
      </c>
    </row>
    <row r="22" spans="1:6" ht="26.25" x14ac:dyDescent="0.25">
      <c r="A22" s="18" t="s">
        <v>63</v>
      </c>
      <c r="B22" s="26"/>
      <c r="C22" s="27">
        <f>0.5*E10</f>
        <v>350</v>
      </c>
      <c r="D22" s="18"/>
      <c r="E22" s="20"/>
      <c r="F22" s="20"/>
    </row>
    <row r="23" spans="1:6" ht="26.25" x14ac:dyDescent="0.25">
      <c r="A23" s="18" t="s">
        <v>64</v>
      </c>
      <c r="B23" s="26"/>
      <c r="C23" s="27">
        <f>E35*0.1*E10</f>
        <v>2170</v>
      </c>
      <c r="D23" s="18"/>
      <c r="E23" s="20"/>
      <c r="F23" s="20"/>
    </row>
    <row r="24" spans="1:6" x14ac:dyDescent="0.25">
      <c r="A24" s="17" t="s">
        <v>46</v>
      </c>
      <c r="B24" s="7"/>
      <c r="C24" s="8"/>
      <c r="D24" s="6"/>
      <c r="E24" s="10"/>
      <c r="F24" s="20"/>
    </row>
    <row r="25" spans="1:6" x14ac:dyDescent="0.25">
      <c r="A25" s="19" t="s">
        <v>47</v>
      </c>
      <c r="B25" s="7" t="s">
        <v>40</v>
      </c>
      <c r="C25" s="8">
        <f>SUM(C26:C31)</f>
        <v>7450</v>
      </c>
      <c r="D25" s="6"/>
      <c r="E25" s="10">
        <f>ROUND(C25/E10,2)</f>
        <v>10.64</v>
      </c>
      <c r="F25" s="20" t="s">
        <v>37</v>
      </c>
    </row>
    <row r="26" spans="1:6" x14ac:dyDescent="0.25">
      <c r="A26" s="6" t="s">
        <v>48</v>
      </c>
      <c r="B26" s="7"/>
      <c r="C26" s="8">
        <v>500</v>
      </c>
      <c r="D26" s="6"/>
      <c r="E26" s="10"/>
      <c r="F26" s="20"/>
    </row>
    <row r="27" spans="1:6" x14ac:dyDescent="0.25">
      <c r="A27" s="6" t="s">
        <v>49</v>
      </c>
      <c r="B27" s="7"/>
      <c r="C27" s="8">
        <f>ROUND(E3*1.4/100,2)</f>
        <v>1050</v>
      </c>
      <c r="D27" s="6"/>
      <c r="E27" s="6"/>
      <c r="F27" s="20"/>
    </row>
    <row r="28" spans="1:6" x14ac:dyDescent="0.25">
      <c r="A28" s="6" t="s">
        <v>50</v>
      </c>
      <c r="B28" s="7"/>
      <c r="C28" s="8">
        <v>800</v>
      </c>
      <c r="D28" s="6"/>
      <c r="E28" s="10"/>
      <c r="F28" s="20"/>
    </row>
    <row r="29" spans="1:6" x14ac:dyDescent="0.25">
      <c r="A29" s="6" t="s">
        <v>51</v>
      </c>
      <c r="B29" s="7"/>
      <c r="C29" s="8">
        <f>ROUND(E3*5/100,2)</f>
        <v>3750</v>
      </c>
      <c r="D29" s="6"/>
      <c r="E29" s="10"/>
      <c r="F29" s="20"/>
    </row>
    <row r="30" spans="1:6" x14ac:dyDescent="0.25">
      <c r="A30" s="18" t="s">
        <v>65</v>
      </c>
      <c r="B30" s="26"/>
      <c r="C30" s="27">
        <f>E3*1/100</f>
        <v>750</v>
      </c>
      <c r="D30" s="18"/>
      <c r="E30" s="20"/>
      <c r="F30" s="20"/>
    </row>
    <row r="31" spans="1:6" x14ac:dyDescent="0.25">
      <c r="A31" s="6" t="s">
        <v>53</v>
      </c>
      <c r="B31" s="26"/>
      <c r="C31" s="27">
        <v>600</v>
      </c>
      <c r="D31" s="18"/>
      <c r="E31" s="20"/>
      <c r="F31" s="20"/>
    </row>
    <row r="32" spans="1:6" x14ac:dyDescent="0.25">
      <c r="A32" s="32" t="s">
        <v>54</v>
      </c>
      <c r="B32" s="26"/>
      <c r="C32" s="27"/>
      <c r="D32" s="18"/>
      <c r="E32" s="20"/>
      <c r="F32" s="20"/>
    </row>
    <row r="33" spans="1:6" x14ac:dyDescent="0.25">
      <c r="A33" s="18" t="s">
        <v>66</v>
      </c>
      <c r="B33" s="26" t="s">
        <v>40</v>
      </c>
      <c r="C33" s="27">
        <f>E3*9/100</f>
        <v>6750</v>
      </c>
      <c r="D33" s="18"/>
      <c r="E33" s="20">
        <f>ROUND(C33/E10,2)</f>
        <v>9.64</v>
      </c>
      <c r="F33" s="20" t="s">
        <v>37</v>
      </c>
    </row>
    <row r="34" spans="1:6" x14ac:dyDescent="0.25">
      <c r="A34" s="25" t="s">
        <v>56</v>
      </c>
      <c r="B34" s="33"/>
      <c r="C34" s="34"/>
      <c r="D34" s="13" t="s">
        <v>36</v>
      </c>
      <c r="E34" s="30">
        <f>E35</f>
        <v>31</v>
      </c>
      <c r="F34" s="16" t="s">
        <v>37</v>
      </c>
    </row>
    <row r="35" spans="1:6" x14ac:dyDescent="0.25">
      <c r="A35" s="6" t="s">
        <v>57</v>
      </c>
      <c r="B35" s="7"/>
      <c r="C35" s="8"/>
      <c r="D35" s="18"/>
      <c r="E35" s="20">
        <f>C36+C38</f>
        <v>31</v>
      </c>
      <c r="F35" s="20" t="s">
        <v>37</v>
      </c>
    </row>
    <row r="36" spans="1:6" x14ac:dyDescent="0.25">
      <c r="A36" s="6" t="s">
        <v>58</v>
      </c>
      <c r="B36" s="7"/>
      <c r="C36" s="8">
        <f>15.5*2</f>
        <v>31</v>
      </c>
      <c r="D36" s="18" t="s">
        <v>37</v>
      </c>
      <c r="E36" s="20"/>
      <c r="F36" s="18"/>
    </row>
    <row r="37" spans="1:6" x14ac:dyDescent="0.25">
      <c r="A37" s="6" t="s">
        <v>59</v>
      </c>
      <c r="B37" s="7"/>
      <c r="C37" s="21">
        <v>1</v>
      </c>
      <c r="D37" s="18"/>
      <c r="E37" s="20"/>
      <c r="F37" s="18"/>
    </row>
    <row r="38" spans="1:6" x14ac:dyDescent="0.25">
      <c r="A38" s="6" t="s">
        <v>60</v>
      </c>
      <c r="B38" s="7"/>
      <c r="C38" s="8">
        <f>ROUND(15.5*2*(C37-1),2)</f>
        <v>0</v>
      </c>
      <c r="D38" s="18" t="s">
        <v>37</v>
      </c>
      <c r="E38" s="20"/>
      <c r="F38" s="18"/>
    </row>
    <row r="39" spans="1:6" x14ac:dyDescent="0.25">
      <c r="A39" s="11" t="s">
        <v>61</v>
      </c>
      <c r="B39" s="35"/>
      <c r="C39" s="36"/>
      <c r="D39" s="11"/>
      <c r="E39" s="15">
        <f>E16+E34</f>
        <v>70.8</v>
      </c>
      <c r="F39" s="37" t="s">
        <v>37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314E-85D0-49B7-8E24-321487ED8201}">
  <dimension ref="A1:F39"/>
  <sheetViews>
    <sheetView tabSelected="1" topLeftCell="A19" workbookViewId="0">
      <selection activeCell="C39" sqref="C39"/>
    </sheetView>
  </sheetViews>
  <sheetFormatPr baseColWidth="10" defaultRowHeight="15" x14ac:dyDescent="0.25"/>
  <cols>
    <col min="1" max="1" width="50.7109375" bestFit="1" customWidth="1"/>
    <col min="2" max="2" width="5.85546875" bestFit="1" customWidth="1"/>
    <col min="3" max="3" width="9.28515625" bestFit="1" customWidth="1"/>
    <col min="4" max="4" width="8.42578125" bestFit="1" customWidth="1"/>
    <col min="5" max="5" width="6.5703125" bestFit="1" customWidth="1"/>
    <col min="6" max="6" width="9.28515625" bestFit="1" customWidth="1"/>
  </cols>
  <sheetData>
    <row r="1" spans="1:6" ht="26.25" x14ac:dyDescent="0.4">
      <c r="A1" s="38" t="s">
        <v>79</v>
      </c>
      <c r="B1" s="39"/>
      <c r="C1" s="39"/>
      <c r="D1" s="39"/>
      <c r="E1" s="39"/>
      <c r="F1" s="39"/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39" x14ac:dyDescent="0.25">
      <c r="A3" s="18" t="s">
        <v>1</v>
      </c>
      <c r="B3" s="26" t="s">
        <v>2</v>
      </c>
      <c r="C3" s="27"/>
      <c r="D3" s="18"/>
      <c r="E3" s="28">
        <v>64900</v>
      </c>
      <c r="F3" s="6" t="s">
        <v>3</v>
      </c>
    </row>
    <row r="4" spans="1:6" x14ac:dyDescent="0.25">
      <c r="A4" s="18" t="s">
        <v>4</v>
      </c>
      <c r="B4" s="26" t="s">
        <v>5</v>
      </c>
      <c r="C4" s="27"/>
      <c r="D4" s="18"/>
      <c r="E4" s="9">
        <f>(1-E7/E5)*E3</f>
        <v>25960</v>
      </c>
      <c r="F4" s="6" t="s">
        <v>3</v>
      </c>
    </row>
    <row r="5" spans="1:6" x14ac:dyDescent="0.25">
      <c r="A5" s="18" t="s">
        <v>62</v>
      </c>
      <c r="B5" s="26" t="s">
        <v>7</v>
      </c>
      <c r="C5" s="27"/>
      <c r="D5" s="18"/>
      <c r="E5" s="9">
        <v>15</v>
      </c>
      <c r="F5" s="6" t="s">
        <v>8</v>
      </c>
    </row>
    <row r="6" spans="1:6" x14ac:dyDescent="0.25">
      <c r="A6" s="18" t="s">
        <v>9</v>
      </c>
      <c r="B6" s="26" t="s">
        <v>10</v>
      </c>
      <c r="C6" s="27"/>
      <c r="D6" s="18"/>
      <c r="E6" s="28">
        <v>10000</v>
      </c>
      <c r="F6" s="6" t="s">
        <v>11</v>
      </c>
    </row>
    <row r="7" spans="1:6" x14ac:dyDescent="0.25">
      <c r="A7" s="18" t="s">
        <v>12</v>
      </c>
      <c r="B7" s="26" t="s">
        <v>13</v>
      </c>
      <c r="C7" s="27"/>
      <c r="D7" s="18"/>
      <c r="E7" s="9">
        <v>9</v>
      </c>
      <c r="F7" s="6" t="s">
        <v>8</v>
      </c>
    </row>
    <row r="8" spans="1:6" x14ac:dyDescent="0.25">
      <c r="A8" s="18" t="s">
        <v>14</v>
      </c>
      <c r="B8" s="26" t="s">
        <v>15</v>
      </c>
      <c r="C8" s="27"/>
      <c r="D8" s="18"/>
      <c r="E8" s="9">
        <f>E6-E6*(1-E7/E5)</f>
        <v>6000</v>
      </c>
      <c r="F8" s="6" t="s">
        <v>11</v>
      </c>
    </row>
    <row r="9" spans="1:6" x14ac:dyDescent="0.25">
      <c r="A9" s="18" t="s">
        <v>16</v>
      </c>
      <c r="B9" s="26" t="s">
        <v>17</v>
      </c>
      <c r="C9" s="27"/>
      <c r="D9" s="18"/>
      <c r="E9" s="28">
        <v>667</v>
      </c>
      <c r="F9" s="6" t="s">
        <v>18</v>
      </c>
    </row>
    <row r="10" spans="1:6" x14ac:dyDescent="0.25">
      <c r="A10" s="18" t="s">
        <v>19</v>
      </c>
      <c r="B10" s="26" t="s">
        <v>20</v>
      </c>
      <c r="C10" s="27"/>
      <c r="D10" s="18"/>
      <c r="E10" s="9">
        <v>700</v>
      </c>
      <c r="F10" s="6" t="s">
        <v>18</v>
      </c>
    </row>
    <row r="11" spans="1:6" x14ac:dyDescent="0.25">
      <c r="A11" s="18" t="s">
        <v>21</v>
      </c>
      <c r="B11" s="26" t="s">
        <v>22</v>
      </c>
      <c r="C11" s="27"/>
      <c r="D11" s="18"/>
      <c r="E11" s="20">
        <v>1.6</v>
      </c>
      <c r="F11" s="6" t="s">
        <v>23</v>
      </c>
    </row>
    <row r="12" spans="1:6" x14ac:dyDescent="0.25">
      <c r="A12" s="18" t="s">
        <v>24</v>
      </c>
      <c r="B12" s="26" t="s">
        <v>25</v>
      </c>
      <c r="C12" s="27"/>
      <c r="D12" s="18"/>
      <c r="E12" s="20">
        <v>1.6</v>
      </c>
      <c r="F12" s="6" t="s">
        <v>26</v>
      </c>
    </row>
    <row r="13" spans="1:6" x14ac:dyDescent="0.25">
      <c r="A13" s="18" t="s">
        <v>27</v>
      </c>
      <c r="B13" s="26" t="s">
        <v>28</v>
      </c>
      <c r="C13" s="27"/>
      <c r="D13" s="18"/>
      <c r="E13" s="20">
        <v>0.6</v>
      </c>
      <c r="F13" s="6"/>
    </row>
    <row r="14" spans="1:6" x14ac:dyDescent="0.25">
      <c r="A14" s="18" t="s">
        <v>29</v>
      </c>
      <c r="B14" s="26" t="s">
        <v>30</v>
      </c>
      <c r="C14" s="27"/>
      <c r="D14" s="18"/>
      <c r="E14" s="20">
        <v>0.05</v>
      </c>
      <c r="F14" s="6"/>
    </row>
    <row r="15" spans="1:6" x14ac:dyDescent="0.25">
      <c r="A15" s="18" t="s">
        <v>31</v>
      </c>
      <c r="B15" s="26" t="s">
        <v>32</v>
      </c>
      <c r="C15" s="27"/>
      <c r="D15" s="18"/>
      <c r="E15" s="20">
        <v>8</v>
      </c>
      <c r="F15" s="6" t="s">
        <v>33</v>
      </c>
    </row>
    <row r="16" spans="1:6" x14ac:dyDescent="0.25">
      <c r="A16" s="29" t="s">
        <v>34</v>
      </c>
      <c r="B16" s="12"/>
      <c r="C16" s="13" t="s">
        <v>35</v>
      </c>
      <c r="D16" s="13" t="s">
        <v>36</v>
      </c>
      <c r="E16" s="30">
        <f>ROUND(SUM(E17:E25),2)</f>
        <v>31.44</v>
      </c>
      <c r="F16" s="16" t="s">
        <v>37</v>
      </c>
    </row>
    <row r="17" spans="1:6" ht="39" x14ac:dyDescent="0.25">
      <c r="A17" s="17" t="s">
        <v>38</v>
      </c>
      <c r="B17" s="7"/>
      <c r="C17" s="8"/>
      <c r="D17" s="6"/>
      <c r="E17" s="10">
        <f>ROUND(IF(E6/E5&lt;E10,(E3-E4)/E8,(E3-E4)/(E7*E10)),2)</f>
        <v>6.49</v>
      </c>
      <c r="F17" s="20" t="s">
        <v>37</v>
      </c>
    </row>
    <row r="18" spans="1:6" x14ac:dyDescent="0.25">
      <c r="A18" s="17" t="s">
        <v>39</v>
      </c>
      <c r="B18" s="7" t="s">
        <v>40</v>
      </c>
      <c r="C18" s="8">
        <f>((E3+E4)/2)*E15/100</f>
        <v>3634.4</v>
      </c>
      <c r="D18" s="6"/>
      <c r="E18" s="10">
        <f>ROUND(C18/E10,2)</f>
        <v>5.19</v>
      </c>
      <c r="F18" s="20" t="s">
        <v>37</v>
      </c>
    </row>
    <row r="19" spans="1:6" ht="26.25" x14ac:dyDescent="0.25">
      <c r="A19" s="17" t="s">
        <v>41</v>
      </c>
      <c r="B19" s="7"/>
      <c r="C19" s="8"/>
      <c r="D19" s="6"/>
      <c r="E19" s="10">
        <f>ROUND(E13*E3/E6,2)</f>
        <v>3.89</v>
      </c>
      <c r="F19" s="20" t="s">
        <v>37</v>
      </c>
    </row>
    <row r="20" spans="1:6" ht="26.25" x14ac:dyDescent="0.25">
      <c r="A20" s="17" t="s">
        <v>42</v>
      </c>
      <c r="B20" s="7"/>
      <c r="C20" s="8"/>
      <c r="D20" s="6"/>
      <c r="E20" s="10">
        <f>ROUND(E11*E12*(1+E14),2)</f>
        <v>2.69</v>
      </c>
      <c r="F20" s="20" t="s">
        <v>37</v>
      </c>
    </row>
    <row r="21" spans="1:6" x14ac:dyDescent="0.25">
      <c r="A21" s="31" t="s">
        <v>43</v>
      </c>
      <c r="B21" s="26" t="s">
        <v>40</v>
      </c>
      <c r="C21" s="27">
        <f>C22+C23</f>
        <v>2520</v>
      </c>
      <c r="D21" s="18"/>
      <c r="E21" s="20">
        <f>ROUND(C21/E10,2)</f>
        <v>3.6</v>
      </c>
      <c r="F21" s="20" t="s">
        <v>37</v>
      </c>
    </row>
    <row r="22" spans="1:6" ht="26.25" x14ac:dyDescent="0.25">
      <c r="A22" s="18" t="s">
        <v>63</v>
      </c>
      <c r="B22" s="26"/>
      <c r="C22" s="27">
        <f>0.5*E10</f>
        <v>350</v>
      </c>
      <c r="D22" s="18"/>
      <c r="E22" s="20"/>
      <c r="F22" s="20"/>
    </row>
    <row r="23" spans="1:6" ht="26.25" x14ac:dyDescent="0.25">
      <c r="A23" s="18" t="s">
        <v>64</v>
      </c>
      <c r="B23" s="26"/>
      <c r="C23" s="27">
        <f>E35*0.1*E10</f>
        <v>2170</v>
      </c>
      <c r="D23" s="18"/>
      <c r="E23" s="20"/>
      <c r="F23" s="20"/>
    </row>
    <row r="24" spans="1:6" x14ac:dyDescent="0.25">
      <c r="A24" s="17" t="s">
        <v>46</v>
      </c>
      <c r="B24" s="7"/>
      <c r="C24" s="8"/>
      <c r="D24" s="6"/>
      <c r="E24" s="10"/>
      <c r="F24" s="20"/>
    </row>
    <row r="25" spans="1:6" x14ac:dyDescent="0.25">
      <c r="A25" s="19" t="s">
        <v>47</v>
      </c>
      <c r="B25" s="7" t="s">
        <v>40</v>
      </c>
      <c r="C25" s="8">
        <f>SUM(C26:C31)</f>
        <v>6702.6</v>
      </c>
      <c r="D25" s="6"/>
      <c r="E25" s="10">
        <f>ROUND(C25/E10,2)</f>
        <v>9.58</v>
      </c>
      <c r="F25" s="20" t="s">
        <v>37</v>
      </c>
    </row>
    <row r="26" spans="1:6" x14ac:dyDescent="0.25">
      <c r="A26" s="6" t="s">
        <v>48</v>
      </c>
      <c r="B26" s="7"/>
      <c r="C26" s="8">
        <v>500</v>
      </c>
      <c r="D26" s="6"/>
      <c r="E26" s="10"/>
      <c r="F26" s="20"/>
    </row>
    <row r="27" spans="1:6" x14ac:dyDescent="0.25">
      <c r="A27" s="6" t="s">
        <v>49</v>
      </c>
      <c r="B27" s="7"/>
      <c r="C27" s="8">
        <f>ROUND(E3*1.4/100,2)</f>
        <v>908.6</v>
      </c>
      <c r="D27" s="6"/>
      <c r="E27" s="6"/>
      <c r="F27" s="20"/>
    </row>
    <row r="28" spans="1:6" x14ac:dyDescent="0.25">
      <c r="A28" s="6" t="s">
        <v>50</v>
      </c>
      <c r="B28" s="7"/>
      <c r="C28" s="8">
        <v>800</v>
      </c>
      <c r="D28" s="6"/>
      <c r="E28" s="10"/>
      <c r="F28" s="20"/>
    </row>
    <row r="29" spans="1:6" x14ac:dyDescent="0.25">
      <c r="A29" s="6" t="s">
        <v>51</v>
      </c>
      <c r="B29" s="7"/>
      <c r="C29" s="8">
        <f>ROUND(E3*5/100,2)</f>
        <v>3245</v>
      </c>
      <c r="D29" s="6"/>
      <c r="E29" s="10"/>
      <c r="F29" s="20"/>
    </row>
    <row r="30" spans="1:6" x14ac:dyDescent="0.25">
      <c r="A30" s="18" t="s">
        <v>65</v>
      </c>
      <c r="B30" s="26"/>
      <c r="C30" s="27">
        <f>E3*1/100</f>
        <v>649</v>
      </c>
      <c r="D30" s="18"/>
      <c r="E30" s="20"/>
      <c r="F30" s="20"/>
    </row>
    <row r="31" spans="1:6" x14ac:dyDescent="0.25">
      <c r="A31" s="6" t="s">
        <v>53</v>
      </c>
      <c r="B31" s="26"/>
      <c r="C31" s="27">
        <v>600</v>
      </c>
      <c r="D31" s="18"/>
      <c r="E31" s="20"/>
      <c r="F31" s="20"/>
    </row>
    <row r="32" spans="1:6" x14ac:dyDescent="0.25">
      <c r="A32" s="32" t="s">
        <v>54</v>
      </c>
      <c r="B32" s="26"/>
      <c r="C32" s="27"/>
      <c r="D32" s="18"/>
      <c r="E32" s="20"/>
      <c r="F32" s="20"/>
    </row>
    <row r="33" spans="1:6" x14ac:dyDescent="0.25">
      <c r="A33" s="18" t="s">
        <v>66</v>
      </c>
      <c r="B33" s="26" t="s">
        <v>40</v>
      </c>
      <c r="C33" s="27">
        <f>E3*9/100</f>
        <v>5841</v>
      </c>
      <c r="D33" s="18"/>
      <c r="E33" s="20">
        <f>ROUND(C33/E10,2)</f>
        <v>8.34</v>
      </c>
      <c r="F33" s="20" t="s">
        <v>37</v>
      </c>
    </row>
    <row r="34" spans="1:6" x14ac:dyDescent="0.25">
      <c r="A34" s="25" t="s">
        <v>56</v>
      </c>
      <c r="B34" s="33"/>
      <c r="C34" s="34"/>
      <c r="D34" s="13" t="s">
        <v>36</v>
      </c>
      <c r="E34" s="30">
        <f>E35</f>
        <v>31</v>
      </c>
      <c r="F34" s="16" t="s">
        <v>37</v>
      </c>
    </row>
    <row r="35" spans="1:6" x14ac:dyDescent="0.25">
      <c r="A35" s="6" t="s">
        <v>57</v>
      </c>
      <c r="B35" s="7"/>
      <c r="C35" s="8"/>
      <c r="D35" s="18"/>
      <c r="E35" s="20">
        <f>C36+C38</f>
        <v>31</v>
      </c>
      <c r="F35" s="20" t="s">
        <v>37</v>
      </c>
    </row>
    <row r="36" spans="1:6" x14ac:dyDescent="0.25">
      <c r="A36" s="6" t="s">
        <v>58</v>
      </c>
      <c r="B36" s="7"/>
      <c r="C36" s="8">
        <f>15.5*2</f>
        <v>31</v>
      </c>
      <c r="D36" s="18" t="s">
        <v>37</v>
      </c>
      <c r="E36" s="20"/>
      <c r="F36" s="18"/>
    </row>
    <row r="37" spans="1:6" x14ac:dyDescent="0.25">
      <c r="A37" s="6" t="s">
        <v>59</v>
      </c>
      <c r="B37" s="7"/>
      <c r="C37" s="21">
        <v>1</v>
      </c>
      <c r="D37" s="18"/>
      <c r="E37" s="20"/>
      <c r="F37" s="18"/>
    </row>
    <row r="38" spans="1:6" x14ac:dyDescent="0.25">
      <c r="A38" s="6" t="s">
        <v>60</v>
      </c>
      <c r="B38" s="7"/>
      <c r="C38" s="8">
        <f>ROUND(15.5*2*(C37-1),2)</f>
        <v>0</v>
      </c>
      <c r="D38" s="18" t="s">
        <v>37</v>
      </c>
      <c r="E38" s="20"/>
      <c r="F38" s="18"/>
    </row>
    <row r="39" spans="1:6" x14ac:dyDescent="0.25">
      <c r="A39" s="11" t="s">
        <v>61</v>
      </c>
      <c r="B39" s="35"/>
      <c r="C39" s="36"/>
      <c r="D39" s="11"/>
      <c r="E39" s="15">
        <f>E16+E34</f>
        <v>62.44</v>
      </c>
      <c r="F39" s="37" t="s">
        <v>37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BA28-229B-4180-A837-0D0D615C2852}">
  <dimension ref="A1:F16"/>
  <sheetViews>
    <sheetView workbookViewId="0">
      <selection activeCell="J14" sqref="J14"/>
    </sheetView>
  </sheetViews>
  <sheetFormatPr baseColWidth="10" defaultRowHeight="15" x14ac:dyDescent="0.25"/>
  <cols>
    <col min="1" max="1" width="32" customWidth="1"/>
  </cols>
  <sheetData>
    <row r="1" spans="1:6" x14ac:dyDescent="0.25">
      <c r="A1" s="1" t="s">
        <v>80</v>
      </c>
      <c r="B1" s="2" t="s">
        <v>81</v>
      </c>
      <c r="C1" s="3" t="s">
        <v>82</v>
      </c>
      <c r="D1" s="4" t="s">
        <v>83</v>
      </c>
      <c r="E1" s="3" t="s">
        <v>84</v>
      </c>
      <c r="F1" s="5" t="s">
        <v>85</v>
      </c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64.5" x14ac:dyDescent="0.25">
      <c r="A3" s="18" t="s">
        <v>1</v>
      </c>
      <c r="B3" s="26" t="s">
        <v>2</v>
      </c>
      <c r="C3" s="27"/>
      <c r="D3" s="18"/>
      <c r="E3" s="28">
        <v>64900</v>
      </c>
      <c r="F3" s="6" t="s">
        <v>3</v>
      </c>
    </row>
    <row r="4" spans="1:6" x14ac:dyDescent="0.25">
      <c r="A4" s="18" t="s">
        <v>4</v>
      </c>
      <c r="B4" s="26" t="s">
        <v>5</v>
      </c>
      <c r="C4" s="27"/>
      <c r="D4" s="18"/>
      <c r="E4" s="9">
        <f>(1-E7/E5)*E3</f>
        <v>25960</v>
      </c>
      <c r="F4" s="6" t="s">
        <v>3</v>
      </c>
    </row>
    <row r="5" spans="1:6" ht="26.25" x14ac:dyDescent="0.25">
      <c r="A5" s="18" t="s">
        <v>62</v>
      </c>
      <c r="B5" s="26" t="s">
        <v>7</v>
      </c>
      <c r="C5" s="27"/>
      <c r="D5" s="18"/>
      <c r="E5" s="9">
        <v>15</v>
      </c>
      <c r="F5" s="6" t="s">
        <v>8</v>
      </c>
    </row>
    <row r="6" spans="1:6" ht="26.25" x14ac:dyDescent="0.25">
      <c r="A6" s="18" t="s">
        <v>9</v>
      </c>
      <c r="B6" s="26" t="s">
        <v>10</v>
      </c>
      <c r="C6" s="27"/>
      <c r="D6" s="18"/>
      <c r="E6" s="28">
        <v>10000</v>
      </c>
      <c r="F6" s="6" t="s">
        <v>11</v>
      </c>
    </row>
    <row r="7" spans="1:6" x14ac:dyDescent="0.25">
      <c r="A7" s="18" t="s">
        <v>12</v>
      </c>
      <c r="B7" s="26" t="s">
        <v>13</v>
      </c>
      <c r="C7" s="27"/>
      <c r="D7" s="18"/>
      <c r="E7" s="9">
        <v>9</v>
      </c>
      <c r="F7" s="6" t="s">
        <v>8</v>
      </c>
    </row>
    <row r="8" spans="1:6" x14ac:dyDescent="0.25">
      <c r="A8" s="18" t="s">
        <v>14</v>
      </c>
      <c r="B8" s="26" t="s">
        <v>15</v>
      </c>
      <c r="C8" s="27"/>
      <c r="D8" s="18"/>
      <c r="E8" s="9">
        <f>E6-E6*(1-E7/E5)</f>
        <v>6000</v>
      </c>
      <c r="F8" s="6" t="s">
        <v>11</v>
      </c>
    </row>
    <row r="9" spans="1:6" x14ac:dyDescent="0.25">
      <c r="A9" s="18" t="s">
        <v>16</v>
      </c>
      <c r="B9" s="26" t="s">
        <v>17</v>
      </c>
      <c r="C9" s="27"/>
      <c r="D9" s="18"/>
      <c r="E9" s="28">
        <v>667</v>
      </c>
      <c r="F9" s="6" t="s">
        <v>18</v>
      </c>
    </row>
    <row r="10" spans="1:6" ht="26.25" x14ac:dyDescent="0.25">
      <c r="A10" s="18" t="s">
        <v>19</v>
      </c>
      <c r="B10" s="26" t="s">
        <v>20</v>
      </c>
      <c r="C10" s="27"/>
      <c r="D10" s="18"/>
      <c r="E10" s="9">
        <v>700</v>
      </c>
      <c r="F10" s="6" t="s">
        <v>18</v>
      </c>
    </row>
    <row r="11" spans="1:6" x14ac:dyDescent="0.25">
      <c r="A11" s="18" t="s">
        <v>21</v>
      </c>
      <c r="B11" s="26" t="s">
        <v>22</v>
      </c>
      <c r="C11" s="27"/>
      <c r="D11" s="18"/>
      <c r="E11" s="20">
        <v>1.6</v>
      </c>
      <c r="F11" s="6" t="s">
        <v>23</v>
      </c>
    </row>
    <row r="12" spans="1:6" ht="26.25" x14ac:dyDescent="0.25">
      <c r="A12" s="18" t="s">
        <v>24</v>
      </c>
      <c r="B12" s="26" t="s">
        <v>25</v>
      </c>
      <c r="C12" s="27"/>
      <c r="D12" s="18"/>
      <c r="E12" s="20">
        <v>1.6</v>
      </c>
      <c r="F12" s="6" t="s">
        <v>26</v>
      </c>
    </row>
    <row r="13" spans="1:6" x14ac:dyDescent="0.25">
      <c r="A13" s="18" t="s">
        <v>27</v>
      </c>
      <c r="B13" s="26" t="s">
        <v>28</v>
      </c>
      <c r="C13" s="27"/>
      <c r="D13" s="18"/>
      <c r="E13" s="20">
        <v>0.6</v>
      </c>
      <c r="F13" s="6"/>
    </row>
    <row r="14" spans="1:6" x14ac:dyDescent="0.25">
      <c r="A14" s="18" t="s">
        <v>29</v>
      </c>
      <c r="B14" s="26" t="s">
        <v>30</v>
      </c>
      <c r="C14" s="27"/>
      <c r="D14" s="18"/>
      <c r="E14" s="20">
        <v>0.05</v>
      </c>
      <c r="F14" s="6"/>
    </row>
    <row r="15" spans="1:6" x14ac:dyDescent="0.25">
      <c r="A15" s="18" t="s">
        <v>31</v>
      </c>
      <c r="B15" s="26" t="s">
        <v>32</v>
      </c>
      <c r="C15" s="27"/>
      <c r="D15" s="18"/>
      <c r="E15" s="20">
        <v>8</v>
      </c>
      <c r="F15" s="6" t="s">
        <v>33</v>
      </c>
    </row>
    <row r="16" spans="1:6" x14ac:dyDescent="0.25">
      <c r="A16" s="29" t="s">
        <v>34</v>
      </c>
      <c r="B16" s="12"/>
      <c r="C16" s="13" t="s">
        <v>35</v>
      </c>
      <c r="D16" s="13" t="s">
        <v>36</v>
      </c>
      <c r="E16" s="30">
        <f>ROUND(SUM(E17:E25),2)</f>
        <v>0</v>
      </c>
      <c r="F16" s="16" t="s">
        <v>37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opLeftCell="A16" workbookViewId="0">
      <selection activeCell="C33" sqref="C33"/>
    </sheetView>
  </sheetViews>
  <sheetFormatPr baseColWidth="10" defaultRowHeight="15" x14ac:dyDescent="0.25"/>
  <cols>
    <col min="1" max="1" width="45" customWidth="1"/>
    <col min="2" max="2" width="5.85546875" bestFit="1" customWidth="1"/>
    <col min="3" max="3" width="10.28515625" bestFit="1" customWidth="1"/>
    <col min="4" max="4" width="8.42578125" bestFit="1" customWidth="1"/>
    <col min="5" max="5" width="7.5703125" bestFit="1" customWidth="1"/>
    <col min="6" max="6" width="9.28515625" bestFit="1" customWidth="1"/>
  </cols>
  <sheetData>
    <row r="1" spans="1:6" ht="26.25" x14ac:dyDescent="0.4">
      <c r="A1" s="38" t="s">
        <v>74</v>
      </c>
      <c r="B1" s="39"/>
      <c r="C1" s="39"/>
      <c r="D1" s="39"/>
      <c r="E1" s="39"/>
      <c r="F1" s="39"/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39" x14ac:dyDescent="0.25">
      <c r="A3" s="6" t="s">
        <v>1</v>
      </c>
      <c r="B3" s="7" t="s">
        <v>2</v>
      </c>
      <c r="C3" s="8"/>
      <c r="D3" s="6"/>
      <c r="E3" s="9">
        <v>350000</v>
      </c>
      <c r="F3" s="6" t="s">
        <v>3</v>
      </c>
    </row>
    <row r="4" spans="1:6" x14ac:dyDescent="0.25">
      <c r="A4" s="6" t="s">
        <v>4</v>
      </c>
      <c r="B4" s="7" t="s">
        <v>5</v>
      </c>
      <c r="C4" s="8"/>
      <c r="D4" s="6"/>
      <c r="E4" s="9">
        <f>(1-E7/E5)*E3</f>
        <v>69999.999999999985</v>
      </c>
      <c r="F4" s="6" t="s">
        <v>3</v>
      </c>
    </row>
    <row r="5" spans="1:6" x14ac:dyDescent="0.25">
      <c r="A5" s="6" t="s">
        <v>6</v>
      </c>
      <c r="B5" s="7" t="s">
        <v>7</v>
      </c>
      <c r="C5" s="8"/>
      <c r="D5" s="6"/>
      <c r="E5" s="9">
        <v>15</v>
      </c>
      <c r="F5" s="6" t="s">
        <v>8</v>
      </c>
    </row>
    <row r="6" spans="1:6" x14ac:dyDescent="0.25">
      <c r="A6" s="6" t="s">
        <v>9</v>
      </c>
      <c r="B6" s="7" t="s">
        <v>10</v>
      </c>
      <c r="C6" s="8"/>
      <c r="D6" s="6"/>
      <c r="E6" s="9">
        <v>17000</v>
      </c>
      <c r="F6" s="6" t="s">
        <v>11</v>
      </c>
    </row>
    <row r="7" spans="1:6" x14ac:dyDescent="0.25">
      <c r="A7" s="6" t="s">
        <v>12</v>
      </c>
      <c r="B7" s="7" t="s">
        <v>13</v>
      </c>
      <c r="C7" s="8"/>
      <c r="D7" s="6"/>
      <c r="E7" s="9">
        <v>12</v>
      </c>
      <c r="F7" s="6" t="s">
        <v>8</v>
      </c>
    </row>
    <row r="8" spans="1:6" x14ac:dyDescent="0.25">
      <c r="A8" s="6" t="s">
        <v>14</v>
      </c>
      <c r="B8" s="7" t="s">
        <v>15</v>
      </c>
      <c r="C8" s="8"/>
      <c r="D8" s="6"/>
      <c r="E8" s="9">
        <f>E6-E6*(1-E7/E5)</f>
        <v>13600</v>
      </c>
      <c r="F8" s="6" t="s">
        <v>11</v>
      </c>
    </row>
    <row r="9" spans="1:6" x14ac:dyDescent="0.25">
      <c r="A9" s="6" t="s">
        <v>16</v>
      </c>
      <c r="B9" s="7" t="s">
        <v>17</v>
      </c>
      <c r="C9" s="8"/>
      <c r="D9" s="6"/>
      <c r="E9" s="9">
        <f>E6/E5</f>
        <v>1133.3333333333333</v>
      </c>
      <c r="F9" s="6" t="s">
        <v>18</v>
      </c>
    </row>
    <row r="10" spans="1:6" x14ac:dyDescent="0.25">
      <c r="A10" s="6" t="s">
        <v>19</v>
      </c>
      <c r="B10" s="7" t="s">
        <v>20</v>
      </c>
      <c r="C10" s="8"/>
      <c r="D10" s="6"/>
      <c r="E10" s="9">
        <v>1300</v>
      </c>
      <c r="F10" s="6" t="s">
        <v>18</v>
      </c>
    </row>
    <row r="11" spans="1:6" x14ac:dyDescent="0.25">
      <c r="A11" s="6" t="s">
        <v>21</v>
      </c>
      <c r="B11" s="7" t="s">
        <v>22</v>
      </c>
      <c r="C11" s="8"/>
      <c r="D11" s="6"/>
      <c r="E11" s="10">
        <v>12</v>
      </c>
      <c r="F11" s="6" t="s">
        <v>23</v>
      </c>
    </row>
    <row r="12" spans="1:6" x14ac:dyDescent="0.25">
      <c r="A12" s="6" t="s">
        <v>24</v>
      </c>
      <c r="B12" s="7" t="s">
        <v>25</v>
      </c>
      <c r="C12" s="8"/>
      <c r="D12" s="6"/>
      <c r="E12" s="10">
        <v>1.6</v>
      </c>
      <c r="F12" s="6" t="s">
        <v>26</v>
      </c>
    </row>
    <row r="13" spans="1:6" x14ac:dyDescent="0.25">
      <c r="A13" s="6" t="s">
        <v>27</v>
      </c>
      <c r="B13" s="7" t="s">
        <v>28</v>
      </c>
      <c r="C13" s="8"/>
      <c r="D13" s="6"/>
      <c r="E13" s="10">
        <v>0.8</v>
      </c>
      <c r="F13" s="6"/>
    </row>
    <row r="14" spans="1:6" x14ac:dyDescent="0.25">
      <c r="A14" s="6" t="s">
        <v>29</v>
      </c>
      <c r="B14" s="7" t="s">
        <v>30</v>
      </c>
      <c r="C14" s="8"/>
      <c r="D14" s="6"/>
      <c r="E14" s="10">
        <v>0.1</v>
      </c>
      <c r="F14" s="6"/>
    </row>
    <row r="15" spans="1:6" x14ac:dyDescent="0.25">
      <c r="A15" s="6" t="s">
        <v>31</v>
      </c>
      <c r="B15" s="7" t="s">
        <v>32</v>
      </c>
      <c r="C15" s="8"/>
      <c r="D15" s="6"/>
      <c r="E15" s="10">
        <v>8</v>
      </c>
      <c r="F15" s="6" t="s">
        <v>33</v>
      </c>
    </row>
    <row r="16" spans="1:6" x14ac:dyDescent="0.25">
      <c r="A16" s="11" t="s">
        <v>34</v>
      </c>
      <c r="B16" s="12"/>
      <c r="C16" s="13" t="s">
        <v>35</v>
      </c>
      <c r="D16" s="14" t="s">
        <v>36</v>
      </c>
      <c r="E16" s="15">
        <f>ROUND(SUM(E17:E25),2)</f>
        <v>104.82</v>
      </c>
      <c r="F16" s="16" t="s">
        <v>37</v>
      </c>
    </row>
    <row r="17" spans="1:6" ht="39" x14ac:dyDescent="0.25">
      <c r="A17" s="17" t="s">
        <v>38</v>
      </c>
      <c r="B17" s="7"/>
      <c r="C17" s="8"/>
      <c r="D17" s="6"/>
      <c r="E17" s="10">
        <f>ROUND(IF(E6/E5&lt;E10,(E3-E4)/E8,(E3-E4)/(E7*E10)),2)</f>
        <v>20.59</v>
      </c>
      <c r="F17" s="20" t="s">
        <v>37</v>
      </c>
    </row>
    <row r="18" spans="1:6" x14ac:dyDescent="0.25">
      <c r="A18" s="17" t="s">
        <v>39</v>
      </c>
      <c r="B18" s="7" t="s">
        <v>40</v>
      </c>
      <c r="C18" s="8">
        <f>((E3+E4)/2)*E15/100</f>
        <v>16800</v>
      </c>
      <c r="D18" s="6"/>
      <c r="E18" s="10">
        <f>ROUND(C18/E10,2)</f>
        <v>12.92</v>
      </c>
      <c r="F18" s="20" t="s">
        <v>37</v>
      </c>
    </row>
    <row r="19" spans="1:6" ht="26.25" x14ac:dyDescent="0.25">
      <c r="A19" s="17" t="s">
        <v>41</v>
      </c>
      <c r="B19" s="7"/>
      <c r="C19" s="8"/>
      <c r="D19" s="6"/>
      <c r="E19" s="10">
        <f>ROUND(E13*E3/E6,2)</f>
        <v>16.47</v>
      </c>
      <c r="F19" s="20" t="s">
        <v>37</v>
      </c>
    </row>
    <row r="20" spans="1:6" ht="26.25" x14ac:dyDescent="0.25">
      <c r="A20" s="17" t="s">
        <v>42</v>
      </c>
      <c r="B20" s="7"/>
      <c r="C20" s="8"/>
      <c r="D20" s="6"/>
      <c r="E20" s="10">
        <f>ROUND(E11*E12*(1+E14),2)</f>
        <v>21.12</v>
      </c>
      <c r="F20" s="20" t="s">
        <v>37</v>
      </c>
    </row>
    <row r="21" spans="1:6" x14ac:dyDescent="0.25">
      <c r="A21" s="17" t="s">
        <v>43</v>
      </c>
      <c r="B21" s="7" t="s">
        <v>40</v>
      </c>
      <c r="C21" s="8">
        <f>C22+C23</f>
        <v>13390</v>
      </c>
      <c r="D21" s="6"/>
      <c r="E21" s="10">
        <f>ROUND(C21/E10,2)</f>
        <v>10.3</v>
      </c>
      <c r="F21" s="20" t="s">
        <v>37</v>
      </c>
    </row>
    <row r="22" spans="1:6" ht="26.25" x14ac:dyDescent="0.25">
      <c r="A22" s="6" t="s">
        <v>78</v>
      </c>
      <c r="B22" s="7"/>
      <c r="C22" s="8">
        <f>ROUND(1*E10,2)</f>
        <v>1300</v>
      </c>
      <c r="D22" s="6"/>
      <c r="E22" s="10"/>
      <c r="F22" s="20"/>
    </row>
    <row r="23" spans="1:6" ht="26.25" x14ac:dyDescent="0.25">
      <c r="A23" s="6" t="s">
        <v>45</v>
      </c>
      <c r="B23" s="7"/>
      <c r="C23" s="8">
        <f>ROUND(E35*0.15*E10,2)</f>
        <v>12090</v>
      </c>
      <c r="D23" s="6"/>
      <c r="E23" s="10"/>
      <c r="F23" s="20"/>
    </row>
    <row r="24" spans="1:6" x14ac:dyDescent="0.25">
      <c r="A24" s="17" t="s">
        <v>46</v>
      </c>
      <c r="B24" s="7"/>
      <c r="C24" s="8"/>
      <c r="D24" s="6"/>
      <c r="E24" s="10"/>
      <c r="F24" s="20"/>
    </row>
    <row r="25" spans="1:6" x14ac:dyDescent="0.25">
      <c r="A25" s="19" t="s">
        <v>47</v>
      </c>
      <c r="B25" s="7" t="s">
        <v>40</v>
      </c>
      <c r="C25" s="8">
        <f>SUM(C26:C31)</f>
        <v>30450</v>
      </c>
      <c r="D25" s="6"/>
      <c r="E25" s="10">
        <f>ROUND(C25/E10,2)</f>
        <v>23.42</v>
      </c>
      <c r="F25" s="20" t="s">
        <v>37</v>
      </c>
    </row>
    <row r="26" spans="1:6" x14ac:dyDescent="0.25">
      <c r="A26" s="6" t="s">
        <v>48</v>
      </c>
      <c r="B26" s="7"/>
      <c r="C26" s="8">
        <v>600</v>
      </c>
      <c r="D26" s="6"/>
      <c r="E26" s="10"/>
      <c r="F26" s="20"/>
    </row>
    <row r="27" spans="1:6" x14ac:dyDescent="0.25">
      <c r="A27" s="6" t="s">
        <v>49</v>
      </c>
      <c r="B27" s="7"/>
      <c r="C27" s="8">
        <f>ROUND(E3*1.4/100,2)</f>
        <v>4900</v>
      </c>
      <c r="D27" s="6"/>
      <c r="E27" s="6"/>
      <c r="F27" s="20"/>
    </row>
    <row r="28" spans="1:6" x14ac:dyDescent="0.25">
      <c r="A28" s="6" t="s">
        <v>50</v>
      </c>
      <c r="B28" s="7"/>
      <c r="C28" s="8">
        <v>800</v>
      </c>
      <c r="D28" s="6"/>
      <c r="E28" s="10"/>
      <c r="F28" s="20"/>
    </row>
    <row r="29" spans="1:6" x14ac:dyDescent="0.25">
      <c r="A29" s="6" t="s">
        <v>51</v>
      </c>
      <c r="B29" s="7"/>
      <c r="C29" s="8">
        <f>ROUND(E3*5/100,2)</f>
        <v>17500</v>
      </c>
      <c r="D29" s="6"/>
      <c r="E29" s="10"/>
      <c r="F29" s="20"/>
    </row>
    <row r="30" spans="1:6" x14ac:dyDescent="0.25">
      <c r="A30" s="6" t="s">
        <v>69</v>
      </c>
      <c r="B30" s="7"/>
      <c r="C30" s="8">
        <f>ROUND(E3*1.5/100,2)</f>
        <v>5250</v>
      </c>
      <c r="D30" s="6"/>
      <c r="E30" s="10"/>
      <c r="F30" s="20"/>
    </row>
    <row r="31" spans="1:6" x14ac:dyDescent="0.25">
      <c r="A31" s="6" t="s">
        <v>53</v>
      </c>
      <c r="B31" s="7"/>
      <c r="C31" s="8">
        <v>1400</v>
      </c>
      <c r="D31" s="6"/>
      <c r="E31" s="10"/>
      <c r="F31" s="20"/>
    </row>
    <row r="32" spans="1:6" x14ac:dyDescent="0.25">
      <c r="A32" s="19" t="s">
        <v>54</v>
      </c>
      <c r="B32" s="7"/>
      <c r="C32" s="8"/>
      <c r="D32" s="6"/>
      <c r="E32" s="10"/>
      <c r="F32" s="20"/>
    </row>
    <row r="33" spans="1:6" x14ac:dyDescent="0.25">
      <c r="A33" s="6" t="s">
        <v>66</v>
      </c>
      <c r="B33" s="7" t="s">
        <v>40</v>
      </c>
      <c r="C33" s="8">
        <f>ROUND(E3*9/100,2)</f>
        <v>31500</v>
      </c>
      <c r="D33" s="6"/>
      <c r="E33" s="10">
        <f>ROUND(C33/E10,2)</f>
        <v>24.23</v>
      </c>
      <c r="F33" s="20" t="s">
        <v>37</v>
      </c>
    </row>
    <row r="34" spans="1:6" x14ac:dyDescent="0.25">
      <c r="A34" s="11" t="s">
        <v>56</v>
      </c>
      <c r="B34" s="12"/>
      <c r="C34" s="13"/>
      <c r="D34" s="14" t="s">
        <v>36</v>
      </c>
      <c r="E34" s="15">
        <f>E35</f>
        <v>62</v>
      </c>
      <c r="F34" s="16" t="s">
        <v>37</v>
      </c>
    </row>
    <row r="35" spans="1:6" ht="26.25" x14ac:dyDescent="0.25">
      <c r="A35" s="6" t="s">
        <v>57</v>
      </c>
      <c r="B35" s="7"/>
      <c r="C35" s="8"/>
      <c r="D35" s="18"/>
      <c r="E35" s="20">
        <f>C36+C38</f>
        <v>62</v>
      </c>
      <c r="F35" s="20" t="s">
        <v>37</v>
      </c>
    </row>
    <row r="36" spans="1:6" x14ac:dyDescent="0.25">
      <c r="A36" s="6" t="s">
        <v>76</v>
      </c>
      <c r="B36" s="7"/>
      <c r="C36" s="8">
        <f>2*15.5*2</f>
        <v>62</v>
      </c>
      <c r="D36" s="18" t="s">
        <v>37</v>
      </c>
      <c r="E36" s="20"/>
      <c r="F36" s="18"/>
    </row>
    <row r="37" spans="1:6" x14ac:dyDescent="0.25">
      <c r="A37" s="6" t="s">
        <v>59</v>
      </c>
      <c r="B37" s="7"/>
      <c r="C37" s="21">
        <v>1</v>
      </c>
      <c r="D37" s="18"/>
      <c r="E37" s="20"/>
      <c r="F37" s="18"/>
    </row>
    <row r="38" spans="1:6" x14ac:dyDescent="0.25">
      <c r="A38" s="6" t="s">
        <v>77</v>
      </c>
      <c r="B38" s="7"/>
      <c r="C38" s="8">
        <f>ROUND(15.5*2*(C37-1),2)</f>
        <v>0</v>
      </c>
      <c r="D38" s="18" t="s">
        <v>37</v>
      </c>
      <c r="E38" s="20"/>
      <c r="F38" s="18"/>
    </row>
    <row r="39" spans="1:6" x14ac:dyDescent="0.25">
      <c r="A39" s="11" t="s">
        <v>61</v>
      </c>
      <c r="B39" s="22"/>
      <c r="C39" s="23"/>
      <c r="D39" s="24"/>
      <c r="E39" s="15">
        <f>ROUND(E16+E34,2)</f>
        <v>166.82</v>
      </c>
      <c r="F39" s="37" t="s">
        <v>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9"/>
  <sheetViews>
    <sheetView topLeftCell="A16" workbookViewId="0">
      <selection activeCell="E4" sqref="E4"/>
    </sheetView>
  </sheetViews>
  <sheetFormatPr baseColWidth="10" defaultRowHeight="15" x14ac:dyDescent="0.25"/>
  <cols>
    <col min="1" max="1" width="51.28515625" customWidth="1"/>
    <col min="2" max="2" width="5.85546875" bestFit="1" customWidth="1"/>
    <col min="3" max="3" width="10.28515625" bestFit="1" customWidth="1"/>
    <col min="4" max="4" width="8.42578125" bestFit="1" customWidth="1"/>
    <col min="5" max="5" width="7.5703125" bestFit="1" customWidth="1"/>
    <col min="6" max="6" width="9.28515625" bestFit="1" customWidth="1"/>
  </cols>
  <sheetData>
    <row r="1" spans="1:6" ht="26.25" x14ac:dyDescent="0.4">
      <c r="A1" s="38" t="s">
        <v>75</v>
      </c>
      <c r="B1" s="39"/>
      <c r="C1" s="39"/>
      <c r="D1" s="39"/>
      <c r="E1" s="39"/>
      <c r="F1" s="39"/>
    </row>
    <row r="2" spans="1:6" x14ac:dyDescent="0.25">
      <c r="A2" s="1" t="s">
        <v>0</v>
      </c>
      <c r="B2" s="2"/>
      <c r="C2" s="3"/>
      <c r="D2" s="4"/>
      <c r="E2" s="3"/>
      <c r="F2" s="5"/>
    </row>
    <row r="3" spans="1:6" ht="39" x14ac:dyDescent="0.25">
      <c r="A3" s="6" t="s">
        <v>1</v>
      </c>
      <c r="B3" s="7" t="s">
        <v>2</v>
      </c>
      <c r="C3" s="8"/>
      <c r="D3" s="6"/>
      <c r="E3" s="9">
        <v>410000</v>
      </c>
      <c r="F3" s="6" t="s">
        <v>3</v>
      </c>
    </row>
    <row r="4" spans="1:6" x14ac:dyDescent="0.25">
      <c r="A4" s="6" t="s">
        <v>4</v>
      </c>
      <c r="B4" s="7" t="s">
        <v>5</v>
      </c>
      <c r="C4" s="8"/>
      <c r="D4" s="6"/>
      <c r="E4" s="9">
        <f>(1-E7/E5)*E3</f>
        <v>81999.999999999985</v>
      </c>
      <c r="F4" s="6" t="s">
        <v>3</v>
      </c>
    </row>
    <row r="5" spans="1:6" x14ac:dyDescent="0.25">
      <c r="A5" s="6" t="s">
        <v>6</v>
      </c>
      <c r="B5" s="7" t="s">
        <v>7</v>
      </c>
      <c r="C5" s="8"/>
      <c r="D5" s="6"/>
      <c r="E5" s="9">
        <v>15</v>
      </c>
      <c r="F5" s="6" t="s">
        <v>8</v>
      </c>
    </row>
    <row r="6" spans="1:6" x14ac:dyDescent="0.25">
      <c r="A6" s="6" t="s">
        <v>9</v>
      </c>
      <c r="B6" s="7" t="s">
        <v>10</v>
      </c>
      <c r="C6" s="8"/>
      <c r="D6" s="6"/>
      <c r="E6" s="9">
        <v>17000</v>
      </c>
      <c r="F6" s="6" t="s">
        <v>11</v>
      </c>
    </row>
    <row r="7" spans="1:6" x14ac:dyDescent="0.25">
      <c r="A7" s="6" t="s">
        <v>12</v>
      </c>
      <c r="B7" s="7" t="s">
        <v>13</v>
      </c>
      <c r="C7" s="8"/>
      <c r="D7" s="6"/>
      <c r="E7" s="9">
        <v>12</v>
      </c>
      <c r="F7" s="6" t="s">
        <v>8</v>
      </c>
    </row>
    <row r="8" spans="1:6" x14ac:dyDescent="0.25">
      <c r="A8" s="6" t="s">
        <v>14</v>
      </c>
      <c r="B8" s="7" t="s">
        <v>15</v>
      </c>
      <c r="C8" s="8"/>
      <c r="D8" s="6"/>
      <c r="E8" s="9">
        <f>E6-E6*(1-E7/E5)</f>
        <v>13600</v>
      </c>
      <c r="F8" s="6" t="s">
        <v>11</v>
      </c>
    </row>
    <row r="9" spans="1:6" x14ac:dyDescent="0.25">
      <c r="A9" s="6" t="s">
        <v>16</v>
      </c>
      <c r="B9" s="7" t="s">
        <v>17</v>
      </c>
      <c r="C9" s="8"/>
      <c r="D9" s="6"/>
      <c r="E9" s="9">
        <f>E6/E5</f>
        <v>1133.3333333333333</v>
      </c>
      <c r="F9" s="6" t="s">
        <v>18</v>
      </c>
    </row>
    <row r="10" spans="1:6" x14ac:dyDescent="0.25">
      <c r="A10" s="6" t="s">
        <v>19</v>
      </c>
      <c r="B10" s="7" t="s">
        <v>20</v>
      </c>
      <c r="C10" s="8"/>
      <c r="D10" s="6"/>
      <c r="E10" s="9">
        <v>1300</v>
      </c>
      <c r="F10" s="6" t="s">
        <v>18</v>
      </c>
    </row>
    <row r="11" spans="1:6" x14ac:dyDescent="0.25">
      <c r="A11" s="6" t="s">
        <v>21</v>
      </c>
      <c r="B11" s="7" t="s">
        <v>22</v>
      </c>
      <c r="C11" s="8"/>
      <c r="D11" s="6"/>
      <c r="E11" s="10">
        <v>18</v>
      </c>
      <c r="F11" s="6" t="s">
        <v>23</v>
      </c>
    </row>
    <row r="12" spans="1:6" x14ac:dyDescent="0.25">
      <c r="A12" s="6" t="s">
        <v>24</v>
      </c>
      <c r="B12" s="7" t="s">
        <v>25</v>
      </c>
      <c r="C12" s="8"/>
      <c r="D12" s="6"/>
      <c r="E12" s="10">
        <v>1.6</v>
      </c>
      <c r="F12" s="6" t="s">
        <v>26</v>
      </c>
    </row>
    <row r="13" spans="1:6" x14ac:dyDescent="0.25">
      <c r="A13" s="6" t="s">
        <v>27</v>
      </c>
      <c r="B13" s="7" t="s">
        <v>28</v>
      </c>
      <c r="C13" s="8"/>
      <c r="D13" s="6"/>
      <c r="E13" s="10">
        <v>0.9</v>
      </c>
      <c r="F13" s="6"/>
    </row>
    <row r="14" spans="1:6" x14ac:dyDescent="0.25">
      <c r="A14" s="6" t="s">
        <v>29</v>
      </c>
      <c r="B14" s="7" t="s">
        <v>30</v>
      </c>
      <c r="C14" s="8"/>
      <c r="D14" s="6"/>
      <c r="E14" s="10">
        <v>0.25</v>
      </c>
      <c r="F14" s="6"/>
    </row>
    <row r="15" spans="1:6" x14ac:dyDescent="0.25">
      <c r="A15" s="6" t="s">
        <v>31</v>
      </c>
      <c r="B15" s="7" t="s">
        <v>32</v>
      </c>
      <c r="C15" s="8"/>
      <c r="D15" s="6"/>
      <c r="E15" s="10">
        <v>8</v>
      </c>
      <c r="F15" s="6" t="s">
        <v>33</v>
      </c>
    </row>
    <row r="16" spans="1:6" x14ac:dyDescent="0.25">
      <c r="A16" s="11" t="s">
        <v>34</v>
      </c>
      <c r="B16" s="12"/>
      <c r="C16" s="13" t="s">
        <v>35</v>
      </c>
      <c r="D16" s="14" t="s">
        <v>36</v>
      </c>
      <c r="E16" s="15">
        <f>ROUND(SUM(E17:E25),2)</f>
        <v>140.61000000000001</v>
      </c>
      <c r="F16" s="16" t="s">
        <v>37</v>
      </c>
    </row>
    <row r="17" spans="1:6" ht="39" x14ac:dyDescent="0.25">
      <c r="A17" s="17" t="s">
        <v>38</v>
      </c>
      <c r="B17" s="7"/>
      <c r="C17" s="8"/>
      <c r="D17" s="6"/>
      <c r="E17" s="10">
        <f>ROUND(IF(E6/E5&lt;E10,(E3-E4)/E8,(E3-E4)/(E7*E10)),2)</f>
        <v>24.12</v>
      </c>
      <c r="F17" s="20" t="s">
        <v>37</v>
      </c>
    </row>
    <row r="18" spans="1:6" x14ac:dyDescent="0.25">
      <c r="A18" s="17" t="s">
        <v>39</v>
      </c>
      <c r="B18" s="7" t="s">
        <v>40</v>
      </c>
      <c r="C18" s="8">
        <f>((E3+E4)/2)*E15/100</f>
        <v>19680</v>
      </c>
      <c r="D18" s="6"/>
      <c r="E18" s="10">
        <f>ROUND(C18/E10,2)</f>
        <v>15.14</v>
      </c>
      <c r="F18" s="20" t="s">
        <v>37</v>
      </c>
    </row>
    <row r="19" spans="1:6" ht="26.25" x14ac:dyDescent="0.25">
      <c r="A19" s="17" t="s">
        <v>41</v>
      </c>
      <c r="B19" s="7"/>
      <c r="C19" s="8"/>
      <c r="D19" s="6"/>
      <c r="E19" s="10">
        <f>ROUND(E13*E3/E6,2)</f>
        <v>21.71</v>
      </c>
      <c r="F19" s="20" t="s">
        <v>37</v>
      </c>
    </row>
    <row r="20" spans="1:6" ht="26.25" x14ac:dyDescent="0.25">
      <c r="A20" s="17" t="s">
        <v>42</v>
      </c>
      <c r="B20" s="7"/>
      <c r="C20" s="8"/>
      <c r="D20" s="6"/>
      <c r="E20" s="10">
        <f>ROUND(E11*E12*(1+E14),2)</f>
        <v>36</v>
      </c>
      <c r="F20" s="20" t="s">
        <v>37</v>
      </c>
    </row>
    <row r="21" spans="1:6" x14ac:dyDescent="0.25">
      <c r="A21" s="17" t="s">
        <v>43</v>
      </c>
      <c r="B21" s="7" t="s">
        <v>40</v>
      </c>
      <c r="C21" s="8">
        <f>C22+C23</f>
        <v>14690</v>
      </c>
      <c r="D21" s="6"/>
      <c r="E21" s="10">
        <f>ROUND(C21/E10,2)</f>
        <v>11.3</v>
      </c>
      <c r="F21" s="20" t="s">
        <v>37</v>
      </c>
    </row>
    <row r="22" spans="1:6" ht="26.25" x14ac:dyDescent="0.25">
      <c r="A22" s="6" t="s">
        <v>44</v>
      </c>
      <c r="B22" s="7"/>
      <c r="C22" s="8">
        <f>ROUND(2*E10,2)</f>
        <v>2600</v>
      </c>
      <c r="D22" s="6"/>
      <c r="E22" s="10"/>
      <c r="F22" s="20"/>
    </row>
    <row r="23" spans="1:6" ht="26.25" x14ac:dyDescent="0.25">
      <c r="A23" s="6" t="s">
        <v>45</v>
      </c>
      <c r="B23" s="7"/>
      <c r="C23" s="8">
        <f>ROUND(E35*0.15*E10,2)</f>
        <v>12090</v>
      </c>
      <c r="D23" s="6"/>
      <c r="E23" s="10"/>
      <c r="F23" s="20"/>
    </row>
    <row r="24" spans="1:6" x14ac:dyDescent="0.25">
      <c r="A24" s="17" t="s">
        <v>46</v>
      </c>
      <c r="B24" s="7"/>
      <c r="C24" s="8"/>
      <c r="D24" s="6"/>
      <c r="E24" s="10"/>
      <c r="F24" s="20"/>
    </row>
    <row r="25" spans="1:6" x14ac:dyDescent="0.25">
      <c r="A25" s="19" t="s">
        <v>47</v>
      </c>
      <c r="B25" s="7" t="s">
        <v>40</v>
      </c>
      <c r="C25" s="8">
        <f>SUM(C26:C31)</f>
        <v>42040</v>
      </c>
      <c r="D25" s="6"/>
      <c r="E25" s="10">
        <f>ROUND(C25/E10,2)</f>
        <v>32.340000000000003</v>
      </c>
      <c r="F25" s="20" t="s">
        <v>37</v>
      </c>
    </row>
    <row r="26" spans="1:6" x14ac:dyDescent="0.25">
      <c r="A26" s="6" t="s">
        <v>48</v>
      </c>
      <c r="B26" s="7"/>
      <c r="C26" s="8">
        <v>700</v>
      </c>
      <c r="D26" s="6"/>
      <c r="E26" s="10"/>
      <c r="F26" s="20"/>
    </row>
    <row r="27" spans="1:6" x14ac:dyDescent="0.25">
      <c r="A27" s="6" t="s">
        <v>49</v>
      </c>
      <c r="B27" s="7"/>
      <c r="C27" s="8">
        <f>ROUND(E3*1.4/100,2)</f>
        <v>5740</v>
      </c>
      <c r="D27" s="6"/>
      <c r="E27" s="6"/>
      <c r="F27" s="20"/>
    </row>
    <row r="28" spans="1:6" x14ac:dyDescent="0.25">
      <c r="A28" s="6" t="s">
        <v>50</v>
      </c>
      <c r="B28" s="7"/>
      <c r="C28" s="8">
        <v>800</v>
      </c>
      <c r="D28" s="6"/>
      <c r="E28" s="10"/>
      <c r="F28" s="20"/>
    </row>
    <row r="29" spans="1:6" x14ac:dyDescent="0.25">
      <c r="A29" s="6" t="s">
        <v>51</v>
      </c>
      <c r="B29" s="7"/>
      <c r="C29" s="8">
        <f>ROUND(E3*5/100,2)</f>
        <v>20500</v>
      </c>
      <c r="D29" s="6"/>
      <c r="E29" s="10"/>
      <c r="F29" s="20"/>
    </row>
    <row r="30" spans="1:6" x14ac:dyDescent="0.25">
      <c r="A30" s="6" t="s">
        <v>52</v>
      </c>
      <c r="B30" s="7"/>
      <c r="C30" s="8">
        <f>ROUND(E3*3/100,2)</f>
        <v>12300</v>
      </c>
      <c r="D30" s="6"/>
      <c r="E30" s="10"/>
      <c r="F30" s="20"/>
    </row>
    <row r="31" spans="1:6" x14ac:dyDescent="0.25">
      <c r="A31" s="6" t="s">
        <v>53</v>
      </c>
      <c r="B31" s="7"/>
      <c r="C31" s="8">
        <v>2000</v>
      </c>
      <c r="D31" s="6"/>
      <c r="E31" s="10"/>
      <c r="F31" s="20"/>
    </row>
    <row r="32" spans="1:6" x14ac:dyDescent="0.25">
      <c r="A32" s="19" t="s">
        <v>54</v>
      </c>
      <c r="B32" s="7"/>
      <c r="C32" s="8"/>
      <c r="D32" s="6"/>
      <c r="E32" s="10"/>
      <c r="F32" s="20"/>
    </row>
    <row r="33" spans="1:6" x14ac:dyDescent="0.25">
      <c r="A33" s="6" t="s">
        <v>55</v>
      </c>
      <c r="B33" s="7" t="s">
        <v>40</v>
      </c>
      <c r="C33" s="8">
        <f>ROUND(E3*10/100,2)</f>
        <v>41000</v>
      </c>
      <c r="D33" s="6"/>
      <c r="E33" s="10">
        <f>ROUND(C33/E10,2)</f>
        <v>31.54</v>
      </c>
      <c r="F33" s="20" t="s">
        <v>37</v>
      </c>
    </row>
    <row r="34" spans="1:6" x14ac:dyDescent="0.25">
      <c r="A34" s="11" t="s">
        <v>56</v>
      </c>
      <c r="B34" s="12"/>
      <c r="C34" s="13"/>
      <c r="D34" s="14" t="s">
        <v>36</v>
      </c>
      <c r="E34" s="15">
        <f>E35</f>
        <v>62</v>
      </c>
      <c r="F34" s="16" t="s">
        <v>37</v>
      </c>
    </row>
    <row r="35" spans="1:6" x14ac:dyDescent="0.25">
      <c r="A35" s="6" t="s">
        <v>57</v>
      </c>
      <c r="B35" s="7"/>
      <c r="C35" s="8"/>
      <c r="D35" s="18"/>
      <c r="E35" s="20">
        <f>C36+C38</f>
        <v>62</v>
      </c>
      <c r="F35" s="20" t="s">
        <v>37</v>
      </c>
    </row>
    <row r="36" spans="1:6" x14ac:dyDescent="0.25">
      <c r="A36" s="6" t="s">
        <v>76</v>
      </c>
      <c r="B36" s="7"/>
      <c r="C36" s="8">
        <f>2*15.5*2</f>
        <v>62</v>
      </c>
      <c r="D36" s="18" t="s">
        <v>37</v>
      </c>
      <c r="E36" s="20"/>
      <c r="F36" s="18"/>
    </row>
    <row r="37" spans="1:6" x14ac:dyDescent="0.25">
      <c r="A37" s="6" t="s">
        <v>59</v>
      </c>
      <c r="B37" s="7"/>
      <c r="C37" s="21">
        <v>1</v>
      </c>
      <c r="D37" s="18"/>
      <c r="E37" s="20"/>
      <c r="F37" s="18"/>
    </row>
    <row r="38" spans="1:6" x14ac:dyDescent="0.25">
      <c r="A38" s="6" t="s">
        <v>77</v>
      </c>
      <c r="B38" s="7"/>
      <c r="C38" s="8">
        <f>ROUND(15.5*2*(C37-1),2)</f>
        <v>0</v>
      </c>
      <c r="D38" s="18" t="s">
        <v>37</v>
      </c>
      <c r="E38" s="20"/>
      <c r="F38" s="18"/>
    </row>
    <row r="39" spans="1:6" x14ac:dyDescent="0.25">
      <c r="A39" s="11" t="s">
        <v>61</v>
      </c>
      <c r="B39" s="22"/>
      <c r="C39" s="23"/>
      <c r="D39" s="24"/>
      <c r="E39" s="15">
        <f>ROUND(E16+E34,2)</f>
        <v>202.61</v>
      </c>
      <c r="F39" s="37" t="s">
        <v>37</v>
      </c>
    </row>
  </sheetData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Harvester</vt:lpstr>
      <vt:lpstr>Forwarder</vt:lpstr>
      <vt:lpstr>Skidder m. Kran</vt:lpstr>
      <vt:lpstr>Forstschl. ohne Kran</vt:lpstr>
      <vt:lpstr>Forstraupe</vt:lpstr>
      <vt:lpstr>Tabelle1</vt:lpstr>
      <vt:lpstr>Seilkran</vt:lpstr>
      <vt:lpstr>Gebirgsharvester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Forbrig</dc:creator>
  <cp:lastModifiedBy>felix</cp:lastModifiedBy>
  <cp:lastPrinted>2013-01-31T13:42:22Z</cp:lastPrinted>
  <dcterms:created xsi:type="dcterms:W3CDTF">2013-01-22T09:36:58Z</dcterms:created>
  <dcterms:modified xsi:type="dcterms:W3CDTF">2025-01-09T09:39:43Z</dcterms:modified>
</cp:coreProperties>
</file>